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olosin.katalin\Documents\előterjesztések\2021\2022 évi költségvetés\"/>
    </mc:Choice>
  </mc:AlternateContent>
  <bookViews>
    <workbookView xWindow="0" yWindow="0" windowWidth="20730" windowHeight="11760" tabRatio="644" activeTab="7"/>
  </bookViews>
  <sheets>
    <sheet name="1. melléklet" sheetId="17" r:id="rId1"/>
    <sheet name="2. melléklet" sheetId="11" r:id="rId2"/>
    <sheet name="3. melléklet" sheetId="12" r:id="rId3"/>
    <sheet name="4. melléklet " sheetId="18" r:id="rId4"/>
    <sheet name="4. melléklet_régi" sheetId="7" state="hidden" r:id="rId5"/>
    <sheet name="5. melléklet" sheetId="23" state="hidden" r:id="rId6"/>
    <sheet name="6. melléklet" sheetId="5" r:id="rId7"/>
    <sheet name="7. melléklet" sheetId="20" r:id="rId8"/>
    <sheet name="Támogatások részletezve" sheetId="21" state="hidden" r:id="rId9"/>
  </sheets>
  <externalReferences>
    <externalReference r:id="rId10"/>
    <externalReference r:id="rId11"/>
    <externalReference r:id="rId12"/>
  </externalReferences>
  <definedNames>
    <definedName name="_xlnm._FilterDatabase" localSheetId="1" hidden="1">'2. melléklet'!$C$2:$J$317</definedName>
    <definedName name="_xlnm._FilterDatabase" localSheetId="2" hidden="1">'3. melléklet'!#REF!</definedName>
    <definedName name="_xlnm.Print_Titles" localSheetId="0">'1. melléklet'!$3:$3</definedName>
    <definedName name="_xlnm.Print_Titles" localSheetId="1">'2. melléklet'!$A:$B,'2. melléklet'!$1:$2</definedName>
    <definedName name="_xlnm.Print_Titles" localSheetId="2">'3. melléklet'!$A:$B,'3. melléklet'!$1:$2</definedName>
    <definedName name="_xlnm.Print_Titles" localSheetId="3">'4. melléklet '!$A:$A,'4. melléklet '!$1:$2</definedName>
    <definedName name="_xlnm.Print_Titles" localSheetId="4">'4. melléklet_régi'!$A:$A,'4. melléklet_régi'!$1:$2</definedName>
    <definedName name="_xlnm.Print_Titles" localSheetId="6">'6. melléklet'!$B:$B,'6. melléklet'!$1:$3</definedName>
    <definedName name="_xlnm.Print_Area" localSheetId="1">'2. melléklet'!$A$1:$L$317</definedName>
    <definedName name="_xlnm.Print_Area" localSheetId="2">'3. melléklet'!$A$1:$L$316</definedName>
    <definedName name="_xlnm.Print_Area" localSheetId="3">'4. melléklet '!$A$1:$N$269</definedName>
    <definedName name="_xlnm.Print_Area" localSheetId="4">'4. melléklet_régi'!$A$1:$N$169</definedName>
    <definedName name="_xlnm.Print_Area" localSheetId="6">'6. melléklet'!$A$1:$K$55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0" l="1"/>
  <c r="H12" i="17"/>
  <c r="H11" i="17"/>
  <c r="H22" i="17" l="1"/>
  <c r="C296" i="11"/>
  <c r="D296" i="11"/>
  <c r="C225" i="11"/>
  <c r="C9" i="18" l="1"/>
  <c r="C44" i="12"/>
  <c r="E26" i="18"/>
  <c r="E73" i="18"/>
  <c r="D72" i="18"/>
  <c r="D50" i="12"/>
  <c r="C37" i="12"/>
  <c r="D31" i="12"/>
  <c r="D30" i="12"/>
  <c r="J23" i="12"/>
  <c r="B12" i="20" l="1"/>
  <c r="B6" i="20"/>
  <c r="C40" i="12" l="1"/>
  <c r="E41" i="18"/>
  <c r="C7" i="11" l="1"/>
  <c r="C6" i="11"/>
  <c r="C11" i="18" l="1"/>
  <c r="J64" i="18"/>
  <c r="J57" i="18"/>
  <c r="C39" i="18" l="1"/>
  <c r="C33" i="21"/>
  <c r="C17" i="5"/>
  <c r="E28" i="18"/>
  <c r="E33" i="18"/>
  <c r="J49" i="18"/>
  <c r="H6" i="18"/>
  <c r="J62" i="18"/>
  <c r="J54" i="18"/>
  <c r="J60" i="18"/>
  <c r="G8" i="23" l="1"/>
  <c r="I66" i="23"/>
  <c r="E47" i="23" l="1"/>
  <c r="I47" i="23" s="1"/>
  <c r="E48" i="23"/>
  <c r="I48" i="23" s="1"/>
  <c r="E52" i="23"/>
  <c r="I52" i="23" s="1"/>
  <c r="I53" i="23"/>
  <c r="I51" i="23"/>
  <c r="I46" i="23"/>
  <c r="I54" i="23"/>
  <c r="I75" i="23" l="1"/>
  <c r="H74" i="23"/>
  <c r="H73" i="23" s="1"/>
  <c r="H72" i="23"/>
  <c r="I39" i="23"/>
  <c r="I38" i="23"/>
  <c r="I36" i="23"/>
  <c r="I31" i="23"/>
  <c r="I29" i="23"/>
  <c r="G27" i="23"/>
  <c r="I27" i="23" s="1"/>
  <c r="I19" i="23"/>
  <c r="H16" i="23"/>
  <c r="H15" i="23" s="1"/>
  <c r="G5" i="23"/>
  <c r="H14" i="23"/>
  <c r="H76" i="23" l="1"/>
  <c r="H77" i="23" s="1"/>
  <c r="H21" i="23"/>
  <c r="H22" i="23" s="1"/>
  <c r="I30" i="23"/>
  <c r="G72" i="23"/>
  <c r="J61" i="18"/>
  <c r="M61" i="18" s="1"/>
  <c r="N61" i="18" s="1"/>
  <c r="C41" i="21"/>
  <c r="I73" i="23" l="1"/>
  <c r="I74" i="23"/>
  <c r="E72" i="23"/>
  <c r="I37" i="23"/>
  <c r="G76" i="23"/>
  <c r="H45" i="18"/>
  <c r="I45" i="18" s="1"/>
  <c r="H21" i="18"/>
  <c r="I21" i="18" s="1"/>
  <c r="M49" i="18"/>
  <c r="N49" i="18" s="1"/>
  <c r="E76" i="23" l="1"/>
  <c r="I72" i="23"/>
  <c r="E23" i="18"/>
  <c r="H23" i="18" s="1"/>
  <c r="I23" i="18" s="1"/>
  <c r="M60" i="18"/>
  <c r="N60" i="18" s="1"/>
  <c r="I8" i="18"/>
  <c r="H39" i="18"/>
  <c r="I39" i="18" s="1"/>
  <c r="C4" i="5"/>
  <c r="I77" i="23" l="1"/>
  <c r="I76" i="23"/>
  <c r="M54" i="18"/>
  <c r="N54" i="18" s="1"/>
  <c r="C8" i="21"/>
  <c r="C195" i="12"/>
  <c r="H10" i="18" l="1"/>
  <c r="I10" i="18" s="1"/>
  <c r="J46" i="18"/>
  <c r="M46" i="18" s="1"/>
  <c r="N46" i="18" s="1"/>
  <c r="J63" i="18"/>
  <c r="M63" i="18" s="1"/>
  <c r="N63" i="18" s="1"/>
  <c r="L5" i="18"/>
  <c r="K5" i="18"/>
  <c r="J51" i="18"/>
  <c r="M51" i="18" s="1"/>
  <c r="N51" i="18" s="1"/>
  <c r="E35" i="18"/>
  <c r="H35" i="18" s="1"/>
  <c r="I35" i="18" s="1"/>
  <c r="H33" i="18"/>
  <c r="I33" i="18" s="1"/>
  <c r="E31" i="18"/>
  <c r="H31" i="18" s="1"/>
  <c r="I31" i="18" s="1"/>
  <c r="H41" i="18"/>
  <c r="I41" i="18" s="1"/>
  <c r="E32" i="18"/>
  <c r="J56" i="18"/>
  <c r="M56" i="18" s="1"/>
  <c r="N56" i="18" s="1"/>
  <c r="D20" i="18"/>
  <c r="H20" i="18" s="1"/>
  <c r="I20" i="18" s="1"/>
  <c r="D19" i="18"/>
  <c r="H19" i="18" s="1"/>
  <c r="I19" i="18" s="1"/>
  <c r="D18" i="18"/>
  <c r="H18" i="18" s="1"/>
  <c r="I18" i="18" s="1"/>
  <c r="H14" i="18"/>
  <c r="I14" i="18" s="1"/>
  <c r="C17" i="18"/>
  <c r="H17" i="18" s="1"/>
  <c r="I17" i="18" s="1"/>
  <c r="C12" i="18"/>
  <c r="H12" i="18" s="1"/>
  <c r="I12" i="18" s="1"/>
  <c r="H9" i="18"/>
  <c r="I9" i="18" s="1"/>
  <c r="H11" i="18"/>
  <c r="I11" i="18" s="1"/>
  <c r="C16" i="18"/>
  <c r="H16" i="18" s="1"/>
  <c r="I16" i="18" s="1"/>
  <c r="C15" i="18"/>
  <c r="B7" i="18"/>
  <c r="H7" i="18" s="1"/>
  <c r="I7" i="18" s="1"/>
  <c r="H32" i="18" l="1"/>
  <c r="I32" i="18" s="1"/>
  <c r="H26" i="18"/>
  <c r="I26" i="18" s="1"/>
  <c r="H15" i="18"/>
  <c r="I15" i="18" s="1"/>
  <c r="E44" i="18" l="1"/>
  <c r="E40" i="18"/>
  <c r="H40" i="18" s="1"/>
  <c r="I40" i="18" s="1"/>
  <c r="H28" i="18"/>
  <c r="I28" i="18" s="1"/>
  <c r="H22" i="18"/>
  <c r="I22" i="18" s="1"/>
  <c r="E30" i="18"/>
  <c r="E36" i="18"/>
  <c r="E27" i="18"/>
  <c r="M29" i="18" l="1"/>
  <c r="N29" i="18" s="1"/>
  <c r="C95" i="12"/>
  <c r="C59" i="12"/>
  <c r="E188" i="11" l="1"/>
  <c r="D210" i="12" l="1"/>
  <c r="D209" i="12"/>
  <c r="D208" i="12"/>
  <c r="L67" i="18"/>
  <c r="K67" i="18"/>
  <c r="J67" i="18"/>
  <c r="M74" i="18"/>
  <c r="N74" i="18" s="1"/>
  <c r="M75" i="18"/>
  <c r="N75" i="18" s="1"/>
  <c r="M76" i="18"/>
  <c r="D67" i="18"/>
  <c r="D202" i="12" s="1"/>
  <c r="C67" i="18"/>
  <c r="D200" i="12" s="1"/>
  <c r="H73" i="18"/>
  <c r="I73" i="18" s="1"/>
  <c r="H72" i="18"/>
  <c r="I72" i="18" s="1"/>
  <c r="H71" i="18"/>
  <c r="I71" i="18" s="1"/>
  <c r="M67" i="18" l="1"/>
  <c r="D211" i="12" s="1"/>
  <c r="N76" i="18"/>
  <c r="B67" i="18"/>
  <c r="D199" i="12" s="1"/>
  <c r="H70" i="18"/>
  <c r="H67" i="18" s="1"/>
  <c r="D206" i="12" s="1"/>
  <c r="E70" i="18"/>
  <c r="E67" i="18" s="1"/>
  <c r="D203" i="12" s="1"/>
  <c r="I70" i="18" l="1"/>
  <c r="F34" i="12" l="1"/>
  <c r="D30" i="20" l="1"/>
  <c r="B30" i="20"/>
  <c r="D26" i="20"/>
  <c r="B26" i="20"/>
  <c r="D22" i="20"/>
  <c r="B22" i="20"/>
  <c r="D18" i="20"/>
  <c r="B18" i="20"/>
  <c r="D14" i="20"/>
  <c r="B14" i="20"/>
  <c r="D10" i="20"/>
  <c r="B10" i="20"/>
  <c r="D7" i="20"/>
  <c r="C7" i="20"/>
  <c r="D6" i="20"/>
  <c r="C6" i="20" s="1"/>
  <c r="D3" i="20"/>
  <c r="B3" i="20"/>
  <c r="B2" i="20" l="1"/>
  <c r="D2" i="20"/>
  <c r="C2" i="20" l="1"/>
  <c r="C209" i="11"/>
  <c r="J48" i="18"/>
  <c r="M48" i="18" s="1"/>
  <c r="H48" i="18"/>
  <c r="I48" i="18" s="1"/>
  <c r="N48" i="18" l="1"/>
  <c r="J65" i="18"/>
  <c r="J66" i="18"/>
  <c r="M66" i="18" s="1"/>
  <c r="J52" i="18"/>
  <c r="J55" i="18"/>
  <c r="J53" i="18"/>
  <c r="J47" i="18"/>
  <c r="M47" i="18" s="1"/>
  <c r="N47" i="18" s="1"/>
  <c r="J50" i="18"/>
  <c r="J59" i="18"/>
  <c r="I6" i="18"/>
  <c r="E25" i="18"/>
  <c r="E24" i="18"/>
  <c r="E42" i="18"/>
  <c r="E37" i="18"/>
  <c r="H38" i="18"/>
  <c r="E29" i="18"/>
  <c r="H29" i="18" s="1"/>
  <c r="E34" i="18"/>
  <c r="C13" i="18"/>
  <c r="B5" i="18"/>
  <c r="C199" i="12" s="1"/>
  <c r="J5" i="18" l="1"/>
  <c r="C208" i="12" s="1"/>
  <c r="M55" i="18"/>
  <c r="N55" i="18" s="1"/>
  <c r="H27" i="18"/>
  <c r="I27" i="18" s="1"/>
  <c r="M59" i="18"/>
  <c r="N59" i="18" s="1"/>
  <c r="I29" i="18"/>
  <c r="M50" i="18"/>
  <c r="H13" i="18"/>
  <c r="I13" i="18" s="1"/>
  <c r="H25" i="18"/>
  <c r="I25" i="18" s="1"/>
  <c r="H34" i="18"/>
  <c r="I34" i="18" s="1"/>
  <c r="M52" i="18"/>
  <c r="N52" i="18" s="1"/>
  <c r="H36" i="18"/>
  <c r="I36" i="18" s="1"/>
  <c r="H43" i="18"/>
  <c r="I43" i="18" s="1"/>
  <c r="I38" i="18"/>
  <c r="M65" i="18"/>
  <c r="N65" i="18" s="1"/>
  <c r="H42" i="18"/>
  <c r="I42" i="18" s="1"/>
  <c r="M53" i="18"/>
  <c r="N53" i="18" s="1"/>
  <c r="H44" i="18"/>
  <c r="I44" i="18" s="1"/>
  <c r="H30" i="18"/>
  <c r="I30" i="18" s="1"/>
  <c r="M64" i="18"/>
  <c r="N64" i="18" s="1"/>
  <c r="H37" i="18"/>
  <c r="I37" i="18" s="1"/>
  <c r="H24" i="18"/>
  <c r="I24" i="18" s="1"/>
  <c r="M57" i="18"/>
  <c r="N57" i="18" s="1"/>
  <c r="M62" i="18"/>
  <c r="N62" i="18" s="1"/>
  <c r="N66" i="18"/>
  <c r="C8" i="11"/>
  <c r="C4" i="11"/>
  <c r="C3" i="11"/>
  <c r="N50" i="18" l="1"/>
  <c r="M5" i="18"/>
  <c r="C211" i="12" s="1"/>
  <c r="H5" i="18"/>
  <c r="C206" i="12" s="1"/>
  <c r="J5" i="11"/>
  <c r="I5" i="11"/>
  <c r="H5" i="11"/>
  <c r="G5" i="11"/>
  <c r="F5" i="11"/>
  <c r="E5" i="11"/>
  <c r="D5" i="11"/>
  <c r="C5" i="11"/>
  <c r="C11" i="11" s="1"/>
  <c r="L315" i="11" l="1"/>
  <c r="K315" i="11"/>
  <c r="L314" i="11"/>
  <c r="K314" i="11"/>
  <c r="L312" i="11"/>
  <c r="K312" i="11"/>
  <c r="L311" i="11"/>
  <c r="K311" i="11"/>
  <c r="L310" i="11"/>
  <c r="K310" i="11"/>
  <c r="L309" i="11"/>
  <c r="K309" i="11"/>
  <c r="L308" i="11"/>
  <c r="K308" i="11"/>
  <c r="L305" i="11"/>
  <c r="K305" i="11"/>
  <c r="L304" i="11"/>
  <c r="K304" i="11"/>
  <c r="L303" i="11"/>
  <c r="K303" i="11"/>
  <c r="L302" i="11"/>
  <c r="K302" i="11"/>
  <c r="L300" i="11"/>
  <c r="K300" i="11"/>
  <c r="L299" i="11"/>
  <c r="K299" i="11"/>
  <c r="L297" i="11"/>
  <c r="K297" i="11"/>
  <c r="L294" i="11"/>
  <c r="K294" i="11"/>
  <c r="L293" i="11"/>
  <c r="K293" i="11"/>
  <c r="L292" i="11"/>
  <c r="K292" i="11"/>
  <c r="L291" i="11"/>
  <c r="K291" i="11"/>
  <c r="L290" i="11"/>
  <c r="K290" i="11"/>
  <c r="L287" i="11"/>
  <c r="K287" i="11"/>
  <c r="L286" i="11"/>
  <c r="K286" i="11"/>
  <c r="L285" i="11"/>
  <c r="K285" i="11"/>
  <c r="L282" i="11"/>
  <c r="K282" i="11"/>
  <c r="L281" i="11"/>
  <c r="K281" i="11"/>
  <c r="L280" i="11"/>
  <c r="K280" i="11"/>
  <c r="L279" i="11"/>
  <c r="K279" i="11"/>
  <c r="L278" i="11"/>
  <c r="K278" i="11"/>
  <c r="L277" i="11"/>
  <c r="K277" i="11"/>
  <c r="L276" i="11"/>
  <c r="K276" i="11"/>
  <c r="L275" i="11"/>
  <c r="K275" i="11"/>
  <c r="L274" i="11"/>
  <c r="K274" i="11"/>
  <c r="L273" i="11"/>
  <c r="K273" i="11"/>
  <c r="L272" i="11"/>
  <c r="K272" i="11"/>
  <c r="L270" i="11"/>
  <c r="K270" i="11"/>
  <c r="L269" i="11"/>
  <c r="K269" i="11"/>
  <c r="L268" i="11"/>
  <c r="K268" i="11"/>
  <c r="L267" i="11"/>
  <c r="K267" i="11"/>
  <c r="L266" i="11"/>
  <c r="K266" i="11"/>
  <c r="L265" i="11"/>
  <c r="K265" i="11"/>
  <c r="L264" i="11"/>
  <c r="K264" i="11"/>
  <c r="L263" i="11"/>
  <c r="K263" i="11"/>
  <c r="L262" i="11"/>
  <c r="K262" i="11"/>
  <c r="L260" i="11"/>
  <c r="K260" i="11"/>
  <c r="L259" i="11"/>
  <c r="K259" i="11"/>
  <c r="L258" i="11"/>
  <c r="K258" i="11"/>
  <c r="L256" i="11"/>
  <c r="K256" i="11"/>
  <c r="L255" i="11"/>
  <c r="K255" i="11"/>
  <c r="L254" i="11"/>
  <c r="K254" i="11"/>
  <c r="L253" i="11"/>
  <c r="K253" i="11"/>
  <c r="L252" i="11"/>
  <c r="K252" i="11"/>
  <c r="L251" i="11"/>
  <c r="K251" i="11"/>
  <c r="L250" i="11"/>
  <c r="K250" i="11"/>
  <c r="L249" i="11"/>
  <c r="K249" i="11"/>
  <c r="L248" i="11"/>
  <c r="K248" i="11"/>
  <c r="L247" i="11"/>
  <c r="K247" i="11"/>
  <c r="L246" i="11"/>
  <c r="K246" i="11"/>
  <c r="L244" i="11"/>
  <c r="K244" i="11"/>
  <c r="L243" i="11"/>
  <c r="K243" i="11"/>
  <c r="L242" i="11"/>
  <c r="K242" i="11"/>
  <c r="L241" i="11"/>
  <c r="K241" i="11"/>
  <c r="L240" i="11"/>
  <c r="K240" i="11"/>
  <c r="L239" i="11"/>
  <c r="K239" i="11"/>
  <c r="L238" i="11"/>
  <c r="K238" i="11"/>
  <c r="L237" i="11"/>
  <c r="K237" i="11"/>
  <c r="L236" i="11"/>
  <c r="K236" i="11"/>
  <c r="L234" i="11"/>
  <c r="K234" i="11"/>
  <c r="L233" i="11"/>
  <c r="K233" i="11"/>
  <c r="L232" i="11"/>
  <c r="K232" i="11"/>
  <c r="L230" i="11"/>
  <c r="K230" i="11"/>
  <c r="L229" i="11"/>
  <c r="K229" i="11"/>
  <c r="L228" i="11"/>
  <c r="K228" i="11"/>
  <c r="L227" i="11"/>
  <c r="K227" i="11"/>
  <c r="L226" i="11"/>
  <c r="K226" i="11"/>
  <c r="L225" i="11"/>
  <c r="K225" i="11"/>
  <c r="L224" i="11"/>
  <c r="K224" i="11"/>
  <c r="L223" i="11"/>
  <c r="K223" i="11"/>
  <c r="L221" i="11"/>
  <c r="K221" i="11"/>
  <c r="L220" i="11"/>
  <c r="K220" i="11"/>
  <c r="L216" i="11"/>
  <c r="K216" i="11"/>
  <c r="L215" i="11"/>
  <c r="K215" i="11"/>
  <c r="L214" i="11"/>
  <c r="K214" i="11"/>
  <c r="L213" i="11"/>
  <c r="K213" i="11"/>
  <c r="L212" i="11"/>
  <c r="K212" i="11"/>
  <c r="L210" i="11"/>
  <c r="K210" i="11"/>
  <c r="L208" i="11"/>
  <c r="K208" i="11"/>
  <c r="L207" i="11"/>
  <c r="K207" i="11"/>
  <c r="L205" i="11"/>
  <c r="K205" i="11"/>
  <c r="L204" i="11"/>
  <c r="K204" i="11"/>
  <c r="L202" i="11"/>
  <c r="K202" i="11"/>
  <c r="L199" i="11"/>
  <c r="K199" i="11"/>
  <c r="L198" i="11"/>
  <c r="K198" i="11"/>
  <c r="L197" i="11"/>
  <c r="K197" i="11"/>
  <c r="L196" i="11"/>
  <c r="K196" i="11"/>
  <c r="L195" i="11"/>
  <c r="K195" i="11"/>
  <c r="L194" i="11"/>
  <c r="K194" i="11"/>
  <c r="L192" i="11"/>
  <c r="K192" i="11"/>
  <c r="L190" i="11"/>
  <c r="K190" i="11"/>
  <c r="L187" i="11"/>
  <c r="K187" i="11"/>
  <c r="L185" i="11"/>
  <c r="K185" i="11"/>
  <c r="L184" i="11"/>
  <c r="K184" i="11"/>
  <c r="L183" i="11"/>
  <c r="K183" i="11"/>
  <c r="L182" i="11"/>
  <c r="K182" i="11"/>
  <c r="L181" i="11"/>
  <c r="K181" i="11"/>
  <c r="L180" i="11"/>
  <c r="K180" i="11"/>
  <c r="L179" i="11"/>
  <c r="K179" i="11"/>
  <c r="L178" i="11"/>
  <c r="K178" i="11"/>
  <c r="L177" i="11"/>
  <c r="K177" i="11"/>
  <c r="L176" i="11"/>
  <c r="K176" i="11"/>
  <c r="L175" i="11"/>
  <c r="K175" i="11"/>
  <c r="L174" i="11"/>
  <c r="K174" i="11"/>
  <c r="L173" i="11"/>
  <c r="K173" i="11"/>
  <c r="L172" i="11"/>
  <c r="K172" i="11"/>
  <c r="L171" i="11"/>
  <c r="K171" i="11"/>
  <c r="L170" i="11"/>
  <c r="K170" i="11"/>
  <c r="L169" i="11"/>
  <c r="K169" i="11"/>
  <c r="L168" i="11"/>
  <c r="K168" i="11"/>
  <c r="L165" i="11"/>
  <c r="K165" i="11"/>
  <c r="L164" i="11"/>
  <c r="K164" i="11"/>
  <c r="L163" i="11"/>
  <c r="K163" i="11"/>
  <c r="L162" i="11"/>
  <c r="K162" i="11"/>
  <c r="L161" i="11"/>
  <c r="K161" i="11"/>
  <c r="L160" i="11"/>
  <c r="K160" i="11"/>
  <c r="L159" i="11"/>
  <c r="K159" i="11"/>
  <c r="L158" i="11"/>
  <c r="K158" i="11"/>
  <c r="L157" i="11"/>
  <c r="K157" i="11"/>
  <c r="L156" i="11"/>
  <c r="K156" i="11"/>
  <c r="L155" i="11"/>
  <c r="K155" i="11"/>
  <c r="L154" i="11"/>
  <c r="K154" i="11"/>
  <c r="L153" i="11"/>
  <c r="K153" i="11"/>
  <c r="L152" i="11"/>
  <c r="K152" i="11"/>
  <c r="L151" i="11"/>
  <c r="K151" i="11"/>
  <c r="L150" i="11"/>
  <c r="K150" i="11"/>
  <c r="L148" i="11"/>
  <c r="K148" i="11"/>
  <c r="L147" i="11"/>
  <c r="K147" i="11"/>
  <c r="L146" i="11"/>
  <c r="K146" i="11"/>
  <c r="L145" i="11"/>
  <c r="K145" i="11"/>
  <c r="L143" i="11"/>
  <c r="K143" i="11"/>
  <c r="L142" i="11"/>
  <c r="K142" i="11"/>
  <c r="L141" i="11"/>
  <c r="K141" i="11"/>
  <c r="L140" i="11"/>
  <c r="K140" i="11"/>
  <c r="L138" i="11"/>
  <c r="K138" i="11"/>
  <c r="L137" i="11"/>
  <c r="K137" i="11"/>
  <c r="L136" i="11"/>
  <c r="K136" i="11"/>
  <c r="L135" i="11"/>
  <c r="K135" i="11"/>
  <c r="L134" i="11"/>
  <c r="K134" i="11"/>
  <c r="L133" i="11"/>
  <c r="K133" i="11"/>
  <c r="L132" i="11"/>
  <c r="K132" i="11"/>
  <c r="L131" i="11"/>
  <c r="K131" i="11"/>
  <c r="L130" i="11"/>
  <c r="K130" i="11"/>
  <c r="L129" i="11"/>
  <c r="K129" i="11"/>
  <c r="L128" i="11"/>
  <c r="K128" i="11"/>
  <c r="L127" i="11"/>
  <c r="K127" i="11"/>
  <c r="L126" i="11"/>
  <c r="K126" i="11"/>
  <c r="L125" i="11"/>
  <c r="K125" i="11"/>
  <c r="L124" i="11"/>
  <c r="K124" i="11"/>
  <c r="L123" i="11"/>
  <c r="K123" i="11"/>
  <c r="L122" i="11"/>
  <c r="K122" i="11"/>
  <c r="L121" i="11"/>
  <c r="K121" i="11"/>
  <c r="L120" i="11"/>
  <c r="K120" i="11"/>
  <c r="L119" i="11"/>
  <c r="K119" i="11"/>
  <c r="L117" i="11"/>
  <c r="K117" i="11"/>
  <c r="L116" i="11"/>
  <c r="K116" i="11"/>
  <c r="L115" i="11"/>
  <c r="K115" i="11"/>
  <c r="L114" i="11"/>
  <c r="K114" i="11"/>
  <c r="L113" i="11"/>
  <c r="K113" i="11"/>
  <c r="L112" i="11"/>
  <c r="K112" i="11"/>
  <c r="L110" i="11"/>
  <c r="K110" i="11"/>
  <c r="L109" i="11"/>
  <c r="K109" i="11"/>
  <c r="L108" i="11"/>
  <c r="K108" i="11"/>
  <c r="L107" i="11"/>
  <c r="K107" i="11"/>
  <c r="L105" i="11"/>
  <c r="K105" i="11"/>
  <c r="L104" i="11"/>
  <c r="K104" i="11"/>
  <c r="L103" i="11"/>
  <c r="K103" i="11"/>
  <c r="L102" i="11"/>
  <c r="K102" i="11"/>
  <c r="L101" i="11"/>
  <c r="K101" i="11"/>
  <c r="L100" i="11"/>
  <c r="K100" i="11"/>
  <c r="L99" i="11"/>
  <c r="K99" i="11"/>
  <c r="L98" i="11"/>
  <c r="K98" i="11"/>
  <c r="L97" i="11"/>
  <c r="K97" i="11"/>
  <c r="L94" i="11"/>
  <c r="K94" i="11"/>
  <c r="L93" i="11"/>
  <c r="K93" i="11"/>
  <c r="L92" i="11"/>
  <c r="K92" i="11"/>
  <c r="L91" i="11"/>
  <c r="K91" i="11"/>
  <c r="L90" i="11"/>
  <c r="K90" i="11"/>
  <c r="L89" i="11"/>
  <c r="K89" i="11"/>
  <c r="L88" i="11"/>
  <c r="K88" i="11"/>
  <c r="L86" i="11"/>
  <c r="K86" i="11"/>
  <c r="L85" i="11"/>
  <c r="K85" i="11"/>
  <c r="L82" i="11"/>
  <c r="K82" i="11"/>
  <c r="L81" i="11"/>
  <c r="K81" i="11"/>
  <c r="L80" i="11"/>
  <c r="K80" i="11"/>
  <c r="L79" i="11"/>
  <c r="K79" i="11"/>
  <c r="L78" i="11"/>
  <c r="K78" i="11"/>
  <c r="L77" i="11"/>
  <c r="K77" i="11"/>
  <c r="L76" i="11"/>
  <c r="K76" i="11"/>
  <c r="L75" i="11"/>
  <c r="K75" i="11"/>
  <c r="L74" i="11"/>
  <c r="K74" i="11"/>
  <c r="L73" i="11"/>
  <c r="K73" i="11"/>
  <c r="L71" i="11"/>
  <c r="K71" i="11"/>
  <c r="L70" i="11"/>
  <c r="K70" i="11"/>
  <c r="L69" i="11"/>
  <c r="K69" i="11"/>
  <c r="L68" i="11"/>
  <c r="K68" i="11"/>
  <c r="L67" i="11"/>
  <c r="K67" i="11"/>
  <c r="L66" i="11"/>
  <c r="K66" i="11"/>
  <c r="L65" i="11"/>
  <c r="K65" i="11"/>
  <c r="L64" i="11"/>
  <c r="K64" i="11"/>
  <c r="L63" i="11"/>
  <c r="K63" i="11"/>
  <c r="L62" i="11"/>
  <c r="K62" i="11"/>
  <c r="L60" i="11"/>
  <c r="K60" i="11"/>
  <c r="L59" i="11"/>
  <c r="K59" i="11"/>
  <c r="L58" i="11"/>
  <c r="K58" i="11"/>
  <c r="L57" i="11"/>
  <c r="K57" i="11"/>
  <c r="L56" i="11"/>
  <c r="K56" i="11"/>
  <c r="L55" i="11"/>
  <c r="K55" i="11"/>
  <c r="L54" i="11"/>
  <c r="K54" i="11"/>
  <c r="L53" i="11"/>
  <c r="K53" i="11"/>
  <c r="L52" i="11"/>
  <c r="K52" i="11"/>
  <c r="L51" i="11"/>
  <c r="K51" i="11"/>
  <c r="L49" i="11"/>
  <c r="K49" i="11"/>
  <c r="L48" i="11"/>
  <c r="K48" i="11"/>
  <c r="L46" i="11"/>
  <c r="K46" i="11"/>
  <c r="L45" i="11"/>
  <c r="K45" i="11"/>
  <c r="L44" i="11"/>
  <c r="K44" i="11"/>
  <c r="L43" i="11"/>
  <c r="K43" i="11"/>
  <c r="L42" i="11"/>
  <c r="K42" i="11"/>
  <c r="L40" i="11"/>
  <c r="K40" i="11"/>
  <c r="L39" i="11"/>
  <c r="K39" i="11"/>
  <c r="L38" i="11"/>
  <c r="K38" i="11"/>
  <c r="L37" i="11"/>
  <c r="K37" i="11"/>
  <c r="L35" i="11"/>
  <c r="K35" i="11"/>
  <c r="L34" i="11"/>
  <c r="K34" i="11"/>
  <c r="L33" i="11"/>
  <c r="K33" i="11"/>
  <c r="L32" i="11"/>
  <c r="K32" i="11"/>
  <c r="L31" i="11"/>
  <c r="K31" i="11"/>
  <c r="L30" i="11"/>
  <c r="K30" i="11"/>
  <c r="L29" i="11"/>
  <c r="K29" i="11"/>
  <c r="L28" i="11"/>
  <c r="K28" i="11"/>
  <c r="L27" i="11"/>
  <c r="K27" i="11"/>
  <c r="L26" i="11"/>
  <c r="K26" i="11"/>
  <c r="L24" i="11"/>
  <c r="K24" i="11"/>
  <c r="L23" i="11"/>
  <c r="K23" i="11"/>
  <c r="L22" i="11"/>
  <c r="K22" i="11"/>
  <c r="L21" i="11"/>
  <c r="K21" i="11"/>
  <c r="L20" i="11"/>
  <c r="K20" i="11"/>
  <c r="L19" i="11"/>
  <c r="K19" i="11"/>
  <c r="L18" i="11"/>
  <c r="K18" i="11"/>
  <c r="L17" i="11"/>
  <c r="K17" i="11"/>
  <c r="L16" i="11"/>
  <c r="K16" i="11"/>
  <c r="L15" i="11"/>
  <c r="K15" i="11"/>
  <c r="L13" i="11"/>
  <c r="K13" i="11"/>
  <c r="L12" i="11"/>
  <c r="K12" i="11"/>
  <c r="L11" i="11"/>
  <c r="L10" i="11"/>
  <c r="K10" i="11"/>
  <c r="L9" i="11"/>
  <c r="K9" i="11"/>
  <c r="L8" i="11"/>
  <c r="K8" i="11"/>
  <c r="L7" i="11"/>
  <c r="K7" i="11"/>
  <c r="L6" i="11"/>
  <c r="K6" i="11"/>
  <c r="L5" i="11"/>
  <c r="K5" i="11"/>
  <c r="L4" i="11"/>
  <c r="K4" i="11"/>
  <c r="L3" i="11"/>
  <c r="K3" i="11"/>
  <c r="K318" i="12"/>
  <c r="L318" i="12" s="1"/>
  <c r="L314" i="12"/>
  <c r="H79" i="17" s="1"/>
  <c r="K314" i="12"/>
  <c r="L313" i="12"/>
  <c r="K313" i="12"/>
  <c r="L311" i="12"/>
  <c r="K311" i="12"/>
  <c r="L310" i="12"/>
  <c r="K310" i="12"/>
  <c r="L309" i="12"/>
  <c r="K309" i="12"/>
  <c r="L308" i="12"/>
  <c r="K308" i="12"/>
  <c r="L307" i="12"/>
  <c r="K307" i="12"/>
  <c r="L306" i="12"/>
  <c r="K306" i="12"/>
  <c r="L305" i="12"/>
  <c r="K305" i="12"/>
  <c r="L302" i="12"/>
  <c r="K302" i="12"/>
  <c r="L301" i="12"/>
  <c r="K301" i="12"/>
  <c r="L300" i="12"/>
  <c r="K300" i="12"/>
  <c r="L299" i="12"/>
  <c r="K299" i="12"/>
  <c r="L298" i="12"/>
  <c r="K298" i="12"/>
  <c r="L297" i="12"/>
  <c r="L296" i="12"/>
  <c r="K296" i="12"/>
  <c r="L295" i="12"/>
  <c r="K295" i="12"/>
  <c r="L293" i="12"/>
  <c r="K293" i="12"/>
  <c r="L292" i="12"/>
  <c r="K292" i="12"/>
  <c r="L291" i="12"/>
  <c r="K291" i="12"/>
  <c r="L290" i="12"/>
  <c r="K290" i="12"/>
  <c r="L289" i="12"/>
  <c r="K289" i="12"/>
  <c r="L288" i="12"/>
  <c r="K288" i="12"/>
  <c r="L286" i="12"/>
  <c r="K286" i="12"/>
  <c r="L285" i="12"/>
  <c r="K285" i="12"/>
  <c r="L284" i="12"/>
  <c r="K284" i="12"/>
  <c r="L283" i="12"/>
  <c r="K283" i="12"/>
  <c r="L280" i="12"/>
  <c r="K280" i="12"/>
  <c r="L279" i="12"/>
  <c r="K279" i="12"/>
  <c r="L278" i="12"/>
  <c r="K278" i="12"/>
  <c r="L277" i="12"/>
  <c r="K277" i="12"/>
  <c r="L276" i="12"/>
  <c r="K276" i="12"/>
  <c r="L273" i="12"/>
  <c r="K273" i="12"/>
  <c r="L272" i="12"/>
  <c r="K272" i="12"/>
  <c r="L271" i="12"/>
  <c r="K271" i="12"/>
  <c r="L270" i="12"/>
  <c r="K270" i="12"/>
  <c r="L269" i="12"/>
  <c r="K269" i="12"/>
  <c r="L268" i="12"/>
  <c r="K268" i="12"/>
  <c r="L267" i="12"/>
  <c r="K267" i="12"/>
  <c r="L266" i="12"/>
  <c r="K266" i="12"/>
  <c r="L265" i="12"/>
  <c r="K265" i="12"/>
  <c r="L264" i="12"/>
  <c r="K264" i="12"/>
  <c r="L262" i="12"/>
  <c r="K262" i="12"/>
  <c r="L261" i="12"/>
  <c r="K261" i="12"/>
  <c r="L260" i="12"/>
  <c r="K260" i="12"/>
  <c r="L259" i="12"/>
  <c r="K259" i="12"/>
  <c r="L258" i="12"/>
  <c r="K258" i="12"/>
  <c r="L257" i="12"/>
  <c r="K257" i="12"/>
  <c r="L256" i="12"/>
  <c r="K256" i="12"/>
  <c r="L255" i="12"/>
  <c r="K255" i="12"/>
  <c r="L254" i="12"/>
  <c r="K254" i="12"/>
  <c r="L253" i="12"/>
  <c r="K253" i="12"/>
  <c r="L252" i="12"/>
  <c r="K252" i="12"/>
  <c r="L251" i="12"/>
  <c r="K251" i="12"/>
  <c r="L250" i="12"/>
  <c r="K250" i="12"/>
  <c r="L248" i="12"/>
  <c r="K248" i="12"/>
  <c r="L247" i="12"/>
  <c r="K247" i="12"/>
  <c r="L246" i="12"/>
  <c r="K246" i="12"/>
  <c r="L245" i="12"/>
  <c r="K245" i="12"/>
  <c r="L244" i="12"/>
  <c r="K244" i="12"/>
  <c r="L243" i="12"/>
  <c r="K243" i="12"/>
  <c r="L242" i="12"/>
  <c r="K242" i="12"/>
  <c r="L241" i="12"/>
  <c r="K241" i="12"/>
  <c r="L240" i="12"/>
  <c r="K240" i="12"/>
  <c r="L239" i="12"/>
  <c r="K239" i="12"/>
  <c r="L238" i="12"/>
  <c r="K238" i="12"/>
  <c r="L237" i="12"/>
  <c r="K237" i="12"/>
  <c r="L235" i="12"/>
  <c r="K235" i="12"/>
  <c r="L234" i="12"/>
  <c r="K234" i="12"/>
  <c r="L233" i="12"/>
  <c r="K233" i="12"/>
  <c r="L232" i="12"/>
  <c r="K232" i="12"/>
  <c r="L231" i="12"/>
  <c r="K231" i="12"/>
  <c r="L230" i="12"/>
  <c r="K230" i="12"/>
  <c r="L229" i="12"/>
  <c r="K229" i="12"/>
  <c r="L228" i="12"/>
  <c r="K228" i="12"/>
  <c r="L227" i="12"/>
  <c r="K227" i="12"/>
  <c r="L226" i="12"/>
  <c r="K226" i="12"/>
  <c r="L224" i="12"/>
  <c r="K224" i="12"/>
  <c r="L223" i="12"/>
  <c r="K223" i="12"/>
  <c r="L222" i="12"/>
  <c r="K222" i="12"/>
  <c r="L221" i="12"/>
  <c r="K221" i="12"/>
  <c r="L220" i="12"/>
  <c r="K220" i="12"/>
  <c r="L219" i="12"/>
  <c r="K219" i="12"/>
  <c r="L218" i="12"/>
  <c r="K218" i="12"/>
  <c r="L217" i="12"/>
  <c r="K217" i="12"/>
  <c r="L216" i="12"/>
  <c r="K216" i="12"/>
  <c r="L215" i="12"/>
  <c r="K215" i="12"/>
  <c r="L213" i="12"/>
  <c r="K213" i="12"/>
  <c r="L201" i="12"/>
  <c r="K201" i="12"/>
  <c r="L196" i="12"/>
  <c r="H68" i="17" s="1"/>
  <c r="L195" i="12"/>
  <c r="L193" i="12"/>
  <c r="K193" i="12"/>
  <c r="L192" i="12"/>
  <c r="K192" i="12"/>
  <c r="L191" i="12"/>
  <c r="K191" i="12"/>
  <c r="L190" i="12"/>
  <c r="K190" i="12"/>
  <c r="L189" i="12"/>
  <c r="K189" i="12"/>
  <c r="L188" i="12"/>
  <c r="K188" i="12"/>
  <c r="L187" i="12"/>
  <c r="K187" i="12"/>
  <c r="L186" i="12"/>
  <c r="K186" i="12"/>
  <c r="L185" i="12"/>
  <c r="K185" i="12"/>
  <c r="L184" i="12"/>
  <c r="K184" i="12"/>
  <c r="L182" i="12"/>
  <c r="K182" i="12"/>
  <c r="L181" i="12"/>
  <c r="K181" i="12"/>
  <c r="L180" i="12"/>
  <c r="K180" i="12"/>
  <c r="L179" i="12"/>
  <c r="K179" i="12"/>
  <c r="L178" i="12"/>
  <c r="K178" i="12"/>
  <c r="L177" i="12"/>
  <c r="K177" i="12"/>
  <c r="L176" i="12"/>
  <c r="K176" i="12"/>
  <c r="L175" i="12"/>
  <c r="K175" i="12"/>
  <c r="L174" i="12"/>
  <c r="K174" i="12"/>
  <c r="L173" i="12"/>
  <c r="K173" i="12"/>
  <c r="L172" i="12"/>
  <c r="K172" i="12"/>
  <c r="L171" i="12"/>
  <c r="K171" i="12"/>
  <c r="L170" i="12"/>
  <c r="K170" i="12"/>
  <c r="L169" i="12"/>
  <c r="K169" i="12"/>
  <c r="L167" i="12"/>
  <c r="K167" i="12"/>
  <c r="L165" i="12"/>
  <c r="K165" i="12"/>
  <c r="L164" i="12"/>
  <c r="K164" i="12"/>
  <c r="L163" i="12"/>
  <c r="K163" i="12"/>
  <c r="L162" i="12"/>
  <c r="K162" i="12"/>
  <c r="L161" i="12"/>
  <c r="K161" i="12"/>
  <c r="L160" i="12"/>
  <c r="K160" i="12"/>
  <c r="L159" i="12"/>
  <c r="K159" i="12"/>
  <c r="L158" i="12"/>
  <c r="K158" i="12"/>
  <c r="L157" i="12"/>
  <c r="K157" i="12"/>
  <c r="L156" i="12"/>
  <c r="K156" i="12"/>
  <c r="L154" i="12"/>
  <c r="K154" i="12"/>
  <c r="L153" i="12"/>
  <c r="K153" i="12"/>
  <c r="L152" i="12"/>
  <c r="K152" i="12"/>
  <c r="L151" i="12"/>
  <c r="K151" i="12"/>
  <c r="L150" i="12"/>
  <c r="K150" i="12"/>
  <c r="L149" i="12"/>
  <c r="K149" i="12"/>
  <c r="L148" i="12"/>
  <c r="K148" i="12"/>
  <c r="L147" i="12"/>
  <c r="K147" i="12"/>
  <c r="L146" i="12"/>
  <c r="K146" i="12"/>
  <c r="L145" i="12"/>
  <c r="K145" i="12"/>
  <c r="L143" i="12"/>
  <c r="K143" i="12"/>
  <c r="L142" i="12"/>
  <c r="K142" i="12"/>
  <c r="L141" i="12"/>
  <c r="K141" i="12"/>
  <c r="L140" i="12"/>
  <c r="K140" i="12"/>
  <c r="L139" i="12"/>
  <c r="K139" i="12"/>
  <c r="L138" i="12"/>
  <c r="K138" i="12"/>
  <c r="L137" i="12"/>
  <c r="K137" i="12"/>
  <c r="L136" i="12"/>
  <c r="K136" i="12"/>
  <c r="L135" i="12"/>
  <c r="K135" i="12"/>
  <c r="L134" i="12"/>
  <c r="K134" i="12"/>
  <c r="L132" i="12"/>
  <c r="K132" i="12"/>
  <c r="L130" i="12"/>
  <c r="K130" i="12"/>
  <c r="L129" i="12"/>
  <c r="K129" i="12"/>
  <c r="L128" i="12"/>
  <c r="K128" i="12"/>
  <c r="L127" i="12"/>
  <c r="K127" i="12"/>
  <c r="L126" i="12"/>
  <c r="K126" i="12"/>
  <c r="L124" i="12"/>
  <c r="K124" i="12"/>
  <c r="L123" i="12"/>
  <c r="K123" i="12"/>
  <c r="L122" i="12"/>
  <c r="K122" i="12"/>
  <c r="L121" i="12"/>
  <c r="K121" i="12"/>
  <c r="L120" i="12"/>
  <c r="K120" i="12"/>
  <c r="L119" i="12"/>
  <c r="K119" i="12"/>
  <c r="L118" i="12"/>
  <c r="K118" i="12"/>
  <c r="L117" i="12"/>
  <c r="K117" i="12"/>
  <c r="L116" i="12"/>
  <c r="K116" i="12"/>
  <c r="L115" i="12"/>
  <c r="K115" i="12"/>
  <c r="L114" i="12"/>
  <c r="K114" i="12"/>
  <c r="L113" i="12"/>
  <c r="K113" i="12"/>
  <c r="L112" i="12"/>
  <c r="K112" i="12"/>
  <c r="L111" i="12"/>
  <c r="K111" i="12"/>
  <c r="L110" i="12"/>
  <c r="K110" i="12"/>
  <c r="L109" i="12"/>
  <c r="K109" i="12"/>
  <c r="L108" i="12"/>
  <c r="K108" i="12"/>
  <c r="L107" i="12"/>
  <c r="K107" i="12"/>
  <c r="L106" i="12"/>
  <c r="K106" i="12"/>
  <c r="L104" i="12"/>
  <c r="K104" i="12"/>
  <c r="L103" i="12"/>
  <c r="K103" i="12"/>
  <c r="L101" i="12"/>
  <c r="K101" i="12"/>
  <c r="L100" i="12"/>
  <c r="K100" i="12"/>
  <c r="L99" i="12"/>
  <c r="K99" i="12"/>
  <c r="L98" i="12"/>
  <c r="K98" i="12"/>
  <c r="L97" i="12"/>
  <c r="K97" i="12"/>
  <c r="L96" i="12"/>
  <c r="K96" i="12"/>
  <c r="L94" i="12"/>
  <c r="K94" i="12"/>
  <c r="L93" i="12"/>
  <c r="K93" i="12"/>
  <c r="L92" i="12"/>
  <c r="K92" i="12"/>
  <c r="L91" i="12"/>
  <c r="K91" i="12"/>
  <c r="L90" i="12"/>
  <c r="K90" i="12"/>
  <c r="L89" i="12"/>
  <c r="K89" i="12"/>
  <c r="L88" i="12"/>
  <c r="K88" i="12"/>
  <c r="L87" i="12"/>
  <c r="K87" i="12"/>
  <c r="L85" i="12"/>
  <c r="K85" i="12"/>
  <c r="L84" i="12"/>
  <c r="K84" i="12"/>
  <c r="L83" i="12"/>
  <c r="K83" i="12"/>
  <c r="L82" i="12"/>
  <c r="K82" i="12"/>
  <c r="L81" i="12"/>
  <c r="K81" i="12"/>
  <c r="L80" i="12"/>
  <c r="K80" i="12"/>
  <c r="L79" i="12"/>
  <c r="K79" i="12"/>
  <c r="L78" i="12"/>
  <c r="K78" i="12"/>
  <c r="L77" i="12"/>
  <c r="K77" i="12"/>
  <c r="L76" i="12"/>
  <c r="K76" i="12"/>
  <c r="L74" i="12"/>
  <c r="K74" i="12"/>
  <c r="L73" i="12"/>
  <c r="K73" i="12"/>
  <c r="L72" i="12"/>
  <c r="K72" i="12"/>
  <c r="L71" i="12"/>
  <c r="K71" i="12"/>
  <c r="L70" i="12"/>
  <c r="K70" i="12"/>
  <c r="L69" i="12"/>
  <c r="K69" i="12"/>
  <c r="L68" i="12"/>
  <c r="K68" i="12"/>
  <c r="L67" i="12"/>
  <c r="K67" i="12"/>
  <c r="L66" i="12"/>
  <c r="K66" i="12"/>
  <c r="L65" i="12"/>
  <c r="K65" i="12"/>
  <c r="L64" i="12"/>
  <c r="K64" i="12"/>
  <c r="L62" i="12"/>
  <c r="K62" i="12"/>
  <c r="L58" i="12"/>
  <c r="K58" i="12"/>
  <c r="L57" i="12"/>
  <c r="K57" i="12"/>
  <c r="L56" i="12"/>
  <c r="K56" i="12"/>
  <c r="L54" i="12"/>
  <c r="K54" i="12"/>
  <c r="L53" i="12"/>
  <c r="K53" i="12"/>
  <c r="L45" i="12"/>
  <c r="K45" i="12"/>
  <c r="L42" i="12"/>
  <c r="K42" i="12"/>
  <c r="L32" i="12"/>
  <c r="K32" i="12"/>
  <c r="L26" i="12"/>
  <c r="K26" i="12"/>
  <c r="L16" i="12"/>
  <c r="K16" i="12"/>
  <c r="H78" i="17"/>
  <c r="H67" i="17"/>
  <c r="D79" i="17"/>
  <c r="D78" i="17"/>
  <c r="D22" i="17" l="1"/>
  <c r="G18" i="23" s="1"/>
  <c r="E201" i="11"/>
  <c r="I268" i="18"/>
  <c r="I267" i="18"/>
  <c r="N266" i="18"/>
  <c r="M266" i="18"/>
  <c r="L266" i="18"/>
  <c r="K266" i="18"/>
  <c r="J266" i="18"/>
  <c r="H266" i="18"/>
  <c r="G266" i="18"/>
  <c r="F266" i="18"/>
  <c r="E266" i="18"/>
  <c r="D266" i="18"/>
  <c r="C266" i="18"/>
  <c r="B266" i="18"/>
  <c r="N265" i="18"/>
  <c r="I265" i="18"/>
  <c r="N264" i="18"/>
  <c r="I264" i="18"/>
  <c r="N263" i="18"/>
  <c r="I263" i="18"/>
  <c r="N261" i="18"/>
  <c r="N260" i="18"/>
  <c r="N259" i="18"/>
  <c r="N258" i="18"/>
  <c r="N257" i="18"/>
  <c r="I257" i="18"/>
  <c r="M256" i="18"/>
  <c r="J211" i="12" s="1"/>
  <c r="L256" i="18"/>
  <c r="J210" i="12" s="1"/>
  <c r="K256" i="18"/>
  <c r="J209" i="12" s="1"/>
  <c r="J256" i="18"/>
  <c r="H256" i="18"/>
  <c r="J206" i="12" s="1"/>
  <c r="G256" i="18"/>
  <c r="J205" i="12" s="1"/>
  <c r="F256" i="18"/>
  <c r="J204" i="12" s="1"/>
  <c r="E256" i="18"/>
  <c r="J203" i="12" s="1"/>
  <c r="D256" i="18"/>
  <c r="J202" i="12" s="1"/>
  <c r="C256" i="18"/>
  <c r="J200" i="12" s="1"/>
  <c r="B256" i="18"/>
  <c r="J199" i="12" s="1"/>
  <c r="N255" i="18"/>
  <c r="I255" i="18"/>
  <c r="N254" i="18"/>
  <c r="I254" i="18"/>
  <c r="I253" i="18"/>
  <c r="N251" i="18"/>
  <c r="I251" i="18"/>
  <c r="N250" i="18"/>
  <c r="I250" i="18"/>
  <c r="N248" i="18"/>
  <c r="I248" i="18"/>
  <c r="N246" i="18"/>
  <c r="I246" i="18"/>
  <c r="N245" i="18"/>
  <c r="I245" i="18"/>
  <c r="N243" i="18"/>
  <c r="N242" i="18"/>
  <c r="N241" i="18"/>
  <c r="N240" i="18"/>
  <c r="I240" i="18"/>
  <c r="M238" i="18"/>
  <c r="I211" i="12" s="1"/>
  <c r="L238" i="18"/>
  <c r="I210" i="12" s="1"/>
  <c r="K238" i="18"/>
  <c r="I209" i="12" s="1"/>
  <c r="J238" i="18"/>
  <c r="H238" i="18"/>
  <c r="I206" i="12" s="1"/>
  <c r="G238" i="18"/>
  <c r="I205" i="12" s="1"/>
  <c r="F238" i="18"/>
  <c r="I204" i="12" s="1"/>
  <c r="E238" i="18"/>
  <c r="I203" i="12" s="1"/>
  <c r="D238" i="18"/>
  <c r="I202" i="12" s="1"/>
  <c r="C238" i="18"/>
  <c r="I200" i="12" s="1"/>
  <c r="B238" i="18"/>
  <c r="N237" i="18"/>
  <c r="I237" i="18"/>
  <c r="N236" i="18"/>
  <c r="I236" i="18"/>
  <c r="N235" i="18"/>
  <c r="I235" i="18"/>
  <c r="N234" i="18"/>
  <c r="I234" i="18"/>
  <c r="N233" i="18"/>
  <c r="I233" i="18"/>
  <c r="N232" i="18"/>
  <c r="I232" i="18"/>
  <c r="N230" i="18"/>
  <c r="N229" i="18"/>
  <c r="N228" i="18"/>
  <c r="N226" i="18"/>
  <c r="N222" i="18"/>
  <c r="N221" i="18"/>
  <c r="N220" i="18"/>
  <c r="N219" i="18"/>
  <c r="M217" i="18"/>
  <c r="H211" i="12" s="1"/>
  <c r="L217" i="18"/>
  <c r="H210" i="12" s="1"/>
  <c r="K217" i="18"/>
  <c r="H209" i="12" s="1"/>
  <c r="J217" i="18"/>
  <c r="H217" i="18"/>
  <c r="H206" i="12" s="1"/>
  <c r="G217" i="18"/>
  <c r="H205" i="12" s="1"/>
  <c r="F217" i="18"/>
  <c r="H204" i="12" s="1"/>
  <c r="E217" i="18"/>
  <c r="H203" i="12" s="1"/>
  <c r="D217" i="18"/>
  <c r="H202" i="12" s="1"/>
  <c r="C217" i="18"/>
  <c r="B217" i="18"/>
  <c r="H199" i="12" s="1"/>
  <c r="N216" i="18"/>
  <c r="I216" i="18"/>
  <c r="I215" i="18"/>
  <c r="I214" i="18"/>
  <c r="I213" i="18"/>
  <c r="I212" i="18"/>
  <c r="I211" i="18"/>
  <c r="N210" i="18"/>
  <c r="I210" i="18"/>
  <c r="N209" i="18"/>
  <c r="I209" i="18"/>
  <c r="N208" i="18"/>
  <c r="I208" i="18"/>
  <c r="I207" i="18"/>
  <c r="I206" i="18"/>
  <c r="I205" i="18"/>
  <c r="I204" i="18"/>
  <c r="N203" i="18"/>
  <c r="I203" i="18"/>
  <c r="N201" i="18"/>
  <c r="N200" i="18"/>
  <c r="N199" i="18"/>
  <c r="N198" i="18"/>
  <c r="N197" i="18"/>
  <c r="N196" i="18"/>
  <c r="N195" i="18"/>
  <c r="N194" i="18"/>
  <c r="N192" i="18"/>
  <c r="N191" i="18"/>
  <c r="N189" i="18"/>
  <c r="N188" i="18"/>
  <c r="N187" i="18"/>
  <c r="N186" i="18"/>
  <c r="N184" i="18"/>
  <c r="N183" i="18"/>
  <c r="N182" i="18"/>
  <c r="N181" i="18"/>
  <c r="N180" i="18"/>
  <c r="N178" i="18"/>
  <c r="N177" i="18"/>
  <c r="N175" i="18"/>
  <c r="N174" i="18"/>
  <c r="N173" i="18"/>
  <c r="N172" i="18"/>
  <c r="N171" i="18"/>
  <c r="N170" i="18"/>
  <c r="N169" i="18"/>
  <c r="N167" i="18"/>
  <c r="N166" i="18"/>
  <c r="N165" i="18"/>
  <c r="N164" i="18"/>
  <c r="M162" i="18"/>
  <c r="G211" i="12" s="1"/>
  <c r="L162" i="18"/>
  <c r="G210" i="12" s="1"/>
  <c r="K162" i="18"/>
  <c r="G209" i="12" s="1"/>
  <c r="J162" i="18"/>
  <c r="G208" i="12" s="1"/>
  <c r="H162" i="18"/>
  <c r="G206" i="12" s="1"/>
  <c r="G162" i="18"/>
  <c r="G205" i="12" s="1"/>
  <c r="F162" i="18"/>
  <c r="G204" i="12" s="1"/>
  <c r="E162" i="18"/>
  <c r="G203" i="12" s="1"/>
  <c r="D162" i="18"/>
  <c r="G202" i="12" s="1"/>
  <c r="C162" i="18"/>
  <c r="G200" i="12" s="1"/>
  <c r="B162" i="18"/>
  <c r="N161" i="18"/>
  <c r="H161" i="18"/>
  <c r="I161" i="18" s="1"/>
  <c r="N160" i="18"/>
  <c r="H160" i="18"/>
  <c r="I160" i="18" s="1"/>
  <c r="N159" i="18"/>
  <c r="H159" i="18"/>
  <c r="I159" i="18" s="1"/>
  <c r="N158" i="18"/>
  <c r="H158" i="18"/>
  <c r="I158" i="18" s="1"/>
  <c r="N157" i="18"/>
  <c r="H157" i="18"/>
  <c r="I157" i="18" s="1"/>
  <c r="N156" i="18"/>
  <c r="H156" i="18"/>
  <c r="I156" i="18" s="1"/>
  <c r="N155" i="18"/>
  <c r="H155" i="18"/>
  <c r="I155" i="18" s="1"/>
  <c r="N154" i="18"/>
  <c r="H154" i="18"/>
  <c r="I154" i="18" s="1"/>
  <c r="N153" i="18"/>
  <c r="H153" i="18"/>
  <c r="I153" i="18" s="1"/>
  <c r="N152" i="18"/>
  <c r="H152" i="18"/>
  <c r="I152" i="18" s="1"/>
  <c r="N151" i="18"/>
  <c r="H151" i="18"/>
  <c r="I151" i="18" s="1"/>
  <c r="N150" i="18"/>
  <c r="H150" i="18"/>
  <c r="I150" i="18" s="1"/>
  <c r="N149" i="18"/>
  <c r="H149" i="18"/>
  <c r="I149" i="18" s="1"/>
  <c r="N148" i="18"/>
  <c r="H148" i="18"/>
  <c r="I148" i="18" s="1"/>
  <c r="H147" i="18"/>
  <c r="I147" i="18" s="1"/>
  <c r="H146" i="18"/>
  <c r="I146" i="18" s="1"/>
  <c r="M145" i="18"/>
  <c r="N145" i="18" s="1"/>
  <c r="H145" i="18"/>
  <c r="I145" i="18" s="1"/>
  <c r="M144" i="18"/>
  <c r="N144" i="18" s="1"/>
  <c r="H144" i="18"/>
  <c r="I144" i="18" s="1"/>
  <c r="M143" i="18"/>
  <c r="N143" i="18" s="1"/>
  <c r="H143" i="18"/>
  <c r="I143" i="18" s="1"/>
  <c r="M142" i="18"/>
  <c r="N142" i="18" s="1"/>
  <c r="H142" i="18"/>
  <c r="I142" i="18" s="1"/>
  <c r="M141" i="18"/>
  <c r="N141" i="18" s="1"/>
  <c r="H141" i="18"/>
  <c r="I141" i="18" s="1"/>
  <c r="M140" i="18"/>
  <c r="N140" i="18" s="1"/>
  <c r="H140" i="18"/>
  <c r="I140" i="18" s="1"/>
  <c r="M139" i="18"/>
  <c r="N139" i="18" s="1"/>
  <c r="H139" i="18"/>
  <c r="I139" i="18" s="1"/>
  <c r="M138" i="18"/>
  <c r="N138" i="18" s="1"/>
  <c r="H138" i="18"/>
  <c r="I138" i="18" s="1"/>
  <c r="M137" i="18"/>
  <c r="N137" i="18" s="1"/>
  <c r="H137" i="18"/>
  <c r="I137" i="18" s="1"/>
  <c r="M136" i="18"/>
  <c r="N136" i="18" s="1"/>
  <c r="H136" i="18"/>
  <c r="I136" i="18" s="1"/>
  <c r="M135" i="18"/>
  <c r="N135" i="18" s="1"/>
  <c r="H135" i="18"/>
  <c r="I135" i="18" s="1"/>
  <c r="M134" i="18"/>
  <c r="N134" i="18" s="1"/>
  <c r="H134" i="18"/>
  <c r="I134" i="18" s="1"/>
  <c r="M133" i="18"/>
  <c r="N133" i="18" s="1"/>
  <c r="H133" i="18"/>
  <c r="I133" i="18" s="1"/>
  <c r="M132" i="18"/>
  <c r="N132" i="18" s="1"/>
  <c r="H132" i="18"/>
  <c r="I132" i="18" s="1"/>
  <c r="M131" i="18"/>
  <c r="N131" i="18" s="1"/>
  <c r="H131" i="18"/>
  <c r="I131" i="18" s="1"/>
  <c r="M130" i="18"/>
  <c r="N130" i="18" s="1"/>
  <c r="H130" i="18"/>
  <c r="I130" i="18" s="1"/>
  <c r="M129" i="18"/>
  <c r="N129" i="18" s="1"/>
  <c r="H129" i="18"/>
  <c r="I129" i="18" s="1"/>
  <c r="M128" i="18"/>
  <c r="N128" i="18" s="1"/>
  <c r="H128" i="18"/>
  <c r="I128" i="18" s="1"/>
  <c r="M127" i="18"/>
  <c r="N127" i="18" s="1"/>
  <c r="H127" i="18"/>
  <c r="I127" i="18" s="1"/>
  <c r="M126" i="18"/>
  <c r="N126" i="18" s="1"/>
  <c r="H126" i="18"/>
  <c r="I126" i="18" s="1"/>
  <c r="M125" i="18"/>
  <c r="N125" i="18" s="1"/>
  <c r="H125" i="18"/>
  <c r="I125" i="18" s="1"/>
  <c r="M124" i="18"/>
  <c r="N124" i="18" s="1"/>
  <c r="H124" i="18"/>
  <c r="I124" i="18" s="1"/>
  <c r="M123" i="18"/>
  <c r="N123" i="18" s="1"/>
  <c r="H123" i="18"/>
  <c r="I123" i="18" s="1"/>
  <c r="M122" i="18"/>
  <c r="N122" i="18" s="1"/>
  <c r="H122" i="18"/>
  <c r="I122" i="18" s="1"/>
  <c r="M121" i="18"/>
  <c r="N121" i="18" s="1"/>
  <c r="H121" i="18"/>
  <c r="I121" i="18" s="1"/>
  <c r="M120" i="18"/>
  <c r="N120" i="18" s="1"/>
  <c r="H120" i="18"/>
  <c r="I120" i="18" s="1"/>
  <c r="M119" i="18"/>
  <c r="N119" i="18" s="1"/>
  <c r="H119" i="18"/>
  <c r="I119" i="18" s="1"/>
  <c r="M118" i="18"/>
  <c r="N118" i="18" s="1"/>
  <c r="H118" i="18"/>
  <c r="I118" i="18" s="1"/>
  <c r="N117" i="18"/>
  <c r="H117" i="18"/>
  <c r="I117" i="18" s="1"/>
  <c r="M115" i="18"/>
  <c r="N115" i="18" s="1"/>
  <c r="H115" i="18"/>
  <c r="I115" i="18" s="1"/>
  <c r="M114" i="18"/>
  <c r="N114" i="18" s="1"/>
  <c r="H114" i="18"/>
  <c r="I114" i="18" s="1"/>
  <c r="M113" i="18"/>
  <c r="N113" i="18" s="1"/>
  <c r="H113" i="18"/>
  <c r="I113" i="18" s="1"/>
  <c r="M112" i="18"/>
  <c r="N112" i="18" s="1"/>
  <c r="H112" i="18"/>
  <c r="I112" i="18" s="1"/>
  <c r="M111" i="18"/>
  <c r="N111" i="18" s="1"/>
  <c r="H111" i="18"/>
  <c r="I111" i="18" s="1"/>
  <c r="M110" i="18"/>
  <c r="H110" i="18"/>
  <c r="I110" i="18" s="1"/>
  <c r="M109" i="18"/>
  <c r="N109" i="18" s="1"/>
  <c r="H109" i="18"/>
  <c r="I109" i="18" s="1"/>
  <c r="L108" i="18"/>
  <c r="F210" i="12" s="1"/>
  <c r="K108" i="18"/>
  <c r="F209" i="12" s="1"/>
  <c r="J108" i="18"/>
  <c r="G108" i="18"/>
  <c r="F205" i="12" s="1"/>
  <c r="F108" i="18"/>
  <c r="F204" i="12" s="1"/>
  <c r="E108" i="18"/>
  <c r="F203" i="12" s="1"/>
  <c r="D108" i="18"/>
  <c r="F202" i="12" s="1"/>
  <c r="C108" i="18"/>
  <c r="F200" i="12" s="1"/>
  <c r="B108" i="18"/>
  <c r="F199" i="12" s="1"/>
  <c r="N107" i="18"/>
  <c r="I107" i="18"/>
  <c r="N106" i="18"/>
  <c r="I106" i="18"/>
  <c r="N105" i="18"/>
  <c r="I105" i="18"/>
  <c r="N104" i="18"/>
  <c r="I104" i="18"/>
  <c r="N103" i="18"/>
  <c r="I103" i="18"/>
  <c r="N102" i="18"/>
  <c r="I102" i="18"/>
  <c r="N101" i="18"/>
  <c r="I101" i="18"/>
  <c r="N100" i="18"/>
  <c r="I100" i="18"/>
  <c r="N99" i="18"/>
  <c r="I99" i="18"/>
  <c r="N98" i="18"/>
  <c r="I98" i="18"/>
  <c r="N97" i="18"/>
  <c r="I97" i="18"/>
  <c r="N96" i="18"/>
  <c r="I96" i="18"/>
  <c r="N95" i="18"/>
  <c r="I95" i="18"/>
  <c r="N94" i="18"/>
  <c r="I94" i="18"/>
  <c r="N93" i="18"/>
  <c r="I93" i="18"/>
  <c r="N92" i="18"/>
  <c r="I92" i="18"/>
  <c r="N91" i="18"/>
  <c r="I91" i="18"/>
  <c r="N90" i="18"/>
  <c r="I90" i="18"/>
  <c r="N89" i="18"/>
  <c r="I89" i="18"/>
  <c r="N88" i="18"/>
  <c r="I88" i="18"/>
  <c r="N87" i="18"/>
  <c r="I87" i="18"/>
  <c r="N86" i="18"/>
  <c r="I86" i="18"/>
  <c r="N85" i="18"/>
  <c r="I85" i="18"/>
  <c r="N83" i="18"/>
  <c r="I83" i="18"/>
  <c r="N82" i="18"/>
  <c r="I82" i="18"/>
  <c r="N81" i="18"/>
  <c r="I81" i="18"/>
  <c r="N80" i="18"/>
  <c r="I80" i="18"/>
  <c r="N79" i="18"/>
  <c r="I79" i="18"/>
  <c r="M78" i="18"/>
  <c r="L78" i="18"/>
  <c r="K78" i="18"/>
  <c r="J78" i="18"/>
  <c r="H78" i="18"/>
  <c r="G78" i="18"/>
  <c r="F78" i="18"/>
  <c r="E78" i="18"/>
  <c r="D78" i="18"/>
  <c r="C78" i="18"/>
  <c r="B78" i="18"/>
  <c r="I69" i="18"/>
  <c r="I68" i="18"/>
  <c r="N67" i="18"/>
  <c r="G67" i="18"/>
  <c r="D205" i="12" s="1"/>
  <c r="F67" i="18"/>
  <c r="D204" i="12" s="1"/>
  <c r="G5" i="18"/>
  <c r="F5" i="18"/>
  <c r="E5" i="18"/>
  <c r="C203" i="12" s="1"/>
  <c r="D5" i="18"/>
  <c r="C202" i="12" s="1"/>
  <c r="C5" i="18"/>
  <c r="C200" i="12" s="1"/>
  <c r="H25" i="12"/>
  <c r="G16" i="23" l="1"/>
  <c r="G15" i="23" s="1"/>
  <c r="I18" i="23"/>
  <c r="N256" i="18"/>
  <c r="I238" i="18"/>
  <c r="I217" i="18"/>
  <c r="N217" i="18"/>
  <c r="I266" i="18"/>
  <c r="H200" i="12"/>
  <c r="L200" i="12" s="1"/>
  <c r="I199" i="12"/>
  <c r="J208" i="12"/>
  <c r="D4" i="18"/>
  <c r="M108" i="18"/>
  <c r="F211" i="12" s="1"/>
  <c r="L211" i="12" s="1"/>
  <c r="N238" i="18"/>
  <c r="F208" i="12"/>
  <c r="I208" i="12"/>
  <c r="L4" i="18"/>
  <c r="I162" i="18"/>
  <c r="G199" i="12"/>
  <c r="H208" i="12"/>
  <c r="I256" i="18"/>
  <c r="N162" i="18"/>
  <c r="C4" i="18"/>
  <c r="N5" i="18"/>
  <c r="L210" i="12"/>
  <c r="L202" i="12"/>
  <c r="L209" i="12"/>
  <c r="I5" i="18"/>
  <c r="I67" i="18"/>
  <c r="F4" i="18"/>
  <c r="N78" i="18"/>
  <c r="L205" i="12"/>
  <c r="K205" i="12"/>
  <c r="G4" i="18"/>
  <c r="K4" i="18"/>
  <c r="B4" i="18"/>
  <c r="E4" i="18"/>
  <c r="L204" i="12"/>
  <c r="K204" i="12"/>
  <c r="K59" i="12"/>
  <c r="L59" i="12"/>
  <c r="K191" i="11"/>
  <c r="L191" i="11"/>
  <c r="L201" i="11"/>
  <c r="K201" i="11"/>
  <c r="K200" i="11"/>
  <c r="L200" i="11"/>
  <c r="L189" i="11"/>
  <c r="K189" i="11"/>
  <c r="L29" i="12"/>
  <c r="K29" i="12"/>
  <c r="L51" i="12"/>
  <c r="L203" i="12"/>
  <c r="K218" i="11"/>
  <c r="L218" i="11"/>
  <c r="L52" i="12"/>
  <c r="K41" i="11"/>
  <c r="L41" i="11"/>
  <c r="K296" i="11"/>
  <c r="L296" i="11"/>
  <c r="L38" i="12"/>
  <c r="H108" i="18"/>
  <c r="J4" i="18"/>
  <c r="N110" i="18"/>
  <c r="M4" i="18" l="1"/>
  <c r="N108" i="18"/>
  <c r="N4" i="18" s="1"/>
  <c r="L199" i="12"/>
  <c r="L208" i="12"/>
  <c r="H4" i="18"/>
  <c r="F206" i="12"/>
  <c r="L206" i="12" s="1"/>
  <c r="I108" i="18"/>
  <c r="I4" i="18" s="1"/>
  <c r="E55" i="12" l="1"/>
  <c r="L55" i="12" s="1"/>
  <c r="K20" i="12" l="1"/>
  <c r="L20" i="12"/>
  <c r="I162" i="7" l="1"/>
  <c r="I163" i="7"/>
  <c r="K4" i="5" l="1"/>
  <c r="I4" i="5" l="1"/>
  <c r="J4" i="5" s="1"/>
  <c r="G4" i="5"/>
  <c r="I101" i="7" l="1"/>
  <c r="N100" i="7" l="1"/>
  <c r="N28" i="7"/>
  <c r="I27" i="7"/>
  <c r="N30" i="7" l="1"/>
  <c r="N31" i="7"/>
  <c r="N32" i="7"/>
  <c r="N33" i="7"/>
  <c r="I29" i="7"/>
  <c r="I30" i="7"/>
  <c r="I31" i="7"/>
  <c r="I40" i="7" l="1"/>
  <c r="I26" i="7"/>
  <c r="I24" i="7"/>
  <c r="N25" i="7"/>
  <c r="N29" i="7"/>
  <c r="I22" i="7"/>
  <c r="I21" i="7"/>
  <c r="I25" i="7"/>
  <c r="I39" i="7"/>
  <c r="I38" i="7"/>
  <c r="I32" i="7" l="1"/>
  <c r="E5" i="7" l="1"/>
  <c r="I103" i="7" l="1"/>
  <c r="I104" i="7"/>
  <c r="I105" i="7"/>
  <c r="I106" i="7"/>
  <c r="N103" i="7"/>
  <c r="I75" i="7"/>
  <c r="I76" i="7"/>
  <c r="N74" i="7"/>
  <c r="N75" i="7"/>
  <c r="N76" i="7"/>
  <c r="N77" i="7"/>
  <c r="N73" i="7"/>
  <c r="I102" i="7" l="1"/>
  <c r="I16" i="7" l="1"/>
  <c r="N102" i="7" l="1"/>
  <c r="N81" i="7" l="1"/>
  <c r="I17" i="7"/>
  <c r="I18" i="7"/>
  <c r="N17" i="7"/>
  <c r="N15" i="7"/>
  <c r="I15" i="7" l="1"/>
  <c r="N14" i="7"/>
  <c r="I13" i="7"/>
  <c r="I14" i="7"/>
  <c r="N13" i="7" l="1"/>
  <c r="C55" i="12" l="1"/>
  <c r="K55" i="12" s="1"/>
  <c r="H56" i="17" l="1"/>
  <c r="H55" i="17"/>
  <c r="D56" i="17"/>
  <c r="D55" i="17"/>
  <c r="D294" i="12"/>
  <c r="E294" i="12"/>
  <c r="C294" i="12"/>
  <c r="D312" i="12"/>
  <c r="E312" i="12"/>
  <c r="F312" i="12"/>
  <c r="G312" i="12"/>
  <c r="H312" i="12"/>
  <c r="I312" i="12"/>
  <c r="J312" i="12"/>
  <c r="C312" i="12"/>
  <c r="D303" i="12"/>
  <c r="E303" i="12"/>
  <c r="F303" i="12"/>
  <c r="G303" i="12"/>
  <c r="H303" i="12"/>
  <c r="I303" i="12"/>
  <c r="J303" i="12"/>
  <c r="C303" i="12"/>
  <c r="D281" i="12"/>
  <c r="E281" i="12"/>
  <c r="F281" i="12"/>
  <c r="G281" i="12"/>
  <c r="H281" i="12"/>
  <c r="I281" i="12"/>
  <c r="J281" i="12"/>
  <c r="C281" i="12"/>
  <c r="D263" i="12"/>
  <c r="E263" i="12"/>
  <c r="F263" i="12"/>
  <c r="G263" i="12"/>
  <c r="H263" i="12"/>
  <c r="I263" i="12"/>
  <c r="J263" i="12"/>
  <c r="C263" i="12"/>
  <c r="D249" i="12"/>
  <c r="E249" i="12"/>
  <c r="F249" i="12"/>
  <c r="G249" i="12"/>
  <c r="H249" i="12"/>
  <c r="I249" i="12"/>
  <c r="J249" i="12"/>
  <c r="C249" i="12"/>
  <c r="D236" i="12"/>
  <c r="E236" i="12"/>
  <c r="F236" i="12"/>
  <c r="G236" i="12"/>
  <c r="H236" i="12"/>
  <c r="I236" i="12"/>
  <c r="J236" i="12"/>
  <c r="C236" i="12"/>
  <c r="D225" i="12"/>
  <c r="E225" i="12"/>
  <c r="F225" i="12"/>
  <c r="G225" i="12"/>
  <c r="H225" i="12"/>
  <c r="I225" i="12"/>
  <c r="J225" i="12"/>
  <c r="C225" i="12"/>
  <c r="D214" i="12"/>
  <c r="E214" i="12"/>
  <c r="F214" i="12"/>
  <c r="G214" i="12"/>
  <c r="H214" i="12"/>
  <c r="I214" i="12"/>
  <c r="J214" i="12"/>
  <c r="C214" i="12"/>
  <c r="D212" i="12"/>
  <c r="E212" i="12"/>
  <c r="D207" i="12"/>
  <c r="E207" i="12"/>
  <c r="D194" i="12"/>
  <c r="E194" i="12"/>
  <c r="F194" i="12"/>
  <c r="G194" i="12"/>
  <c r="H194" i="12"/>
  <c r="I194" i="12"/>
  <c r="J194" i="12"/>
  <c r="D183" i="12"/>
  <c r="E183" i="12"/>
  <c r="F183" i="12"/>
  <c r="G183" i="12"/>
  <c r="H183" i="12"/>
  <c r="I183" i="12"/>
  <c r="J183" i="12"/>
  <c r="D168" i="12"/>
  <c r="E168" i="12"/>
  <c r="F168" i="12"/>
  <c r="G168" i="12"/>
  <c r="H168" i="12"/>
  <c r="I168" i="12"/>
  <c r="J168" i="12"/>
  <c r="D155" i="12"/>
  <c r="E155" i="12"/>
  <c r="F155" i="12"/>
  <c r="G155" i="12"/>
  <c r="H155" i="12"/>
  <c r="I155" i="12"/>
  <c r="J155" i="12"/>
  <c r="D144" i="12"/>
  <c r="E144" i="12"/>
  <c r="F144" i="12"/>
  <c r="G144" i="12"/>
  <c r="H144" i="12"/>
  <c r="I144" i="12"/>
  <c r="J144" i="12"/>
  <c r="C144" i="12"/>
  <c r="D133" i="12"/>
  <c r="E133" i="12"/>
  <c r="F133" i="12"/>
  <c r="G133" i="12"/>
  <c r="H133" i="12"/>
  <c r="I133" i="12"/>
  <c r="J133" i="12"/>
  <c r="C133" i="12"/>
  <c r="D131" i="12"/>
  <c r="E131" i="12"/>
  <c r="F131" i="12"/>
  <c r="G131" i="12"/>
  <c r="H131" i="12"/>
  <c r="I131" i="12"/>
  <c r="J131" i="12"/>
  <c r="C131" i="12"/>
  <c r="D105" i="12"/>
  <c r="E105" i="12"/>
  <c r="F105" i="12"/>
  <c r="G105" i="12"/>
  <c r="H105" i="12"/>
  <c r="I105" i="12"/>
  <c r="J105" i="12"/>
  <c r="D102" i="12"/>
  <c r="E102" i="12"/>
  <c r="F102" i="12"/>
  <c r="G102" i="12"/>
  <c r="H102" i="12"/>
  <c r="I102" i="12"/>
  <c r="J102" i="12"/>
  <c r="C102" i="12"/>
  <c r="D95" i="12"/>
  <c r="E95" i="12"/>
  <c r="F95" i="12"/>
  <c r="G95" i="12"/>
  <c r="H95" i="12"/>
  <c r="I95" i="12"/>
  <c r="J95" i="12"/>
  <c r="D86" i="12"/>
  <c r="E86" i="12"/>
  <c r="F86" i="12"/>
  <c r="G86" i="12"/>
  <c r="H86" i="12"/>
  <c r="I86" i="12"/>
  <c r="J86" i="12"/>
  <c r="C86" i="12"/>
  <c r="D75" i="12"/>
  <c r="E75" i="12"/>
  <c r="F75" i="12"/>
  <c r="G75" i="12"/>
  <c r="H75" i="12"/>
  <c r="I75" i="12"/>
  <c r="J75" i="12"/>
  <c r="C75" i="12"/>
  <c r="D63" i="12"/>
  <c r="E63" i="12"/>
  <c r="F63" i="12"/>
  <c r="G63" i="12"/>
  <c r="H63" i="12"/>
  <c r="I63" i="12"/>
  <c r="J63" i="12"/>
  <c r="E60" i="12"/>
  <c r="G60" i="12"/>
  <c r="H60" i="12"/>
  <c r="I60" i="12"/>
  <c r="J60" i="12"/>
  <c r="E49" i="12"/>
  <c r="F49" i="12"/>
  <c r="G49" i="12"/>
  <c r="H49" i="12"/>
  <c r="I49" i="12"/>
  <c r="J49" i="12"/>
  <c r="E46" i="12"/>
  <c r="G46" i="12"/>
  <c r="H46" i="12"/>
  <c r="I46" i="12"/>
  <c r="J46" i="12"/>
  <c r="E36" i="12"/>
  <c r="F36" i="12"/>
  <c r="G36" i="12"/>
  <c r="H36" i="12"/>
  <c r="I36" i="12"/>
  <c r="J36" i="12"/>
  <c r="E33" i="12"/>
  <c r="F33" i="12"/>
  <c r="G33" i="12"/>
  <c r="H33" i="12"/>
  <c r="I33" i="12"/>
  <c r="J33" i="12"/>
  <c r="E23" i="12"/>
  <c r="F23" i="12"/>
  <c r="G23" i="12"/>
  <c r="H23" i="12"/>
  <c r="I23" i="12"/>
  <c r="C23" i="12"/>
  <c r="H40" i="17" s="1"/>
  <c r="E21" i="12"/>
  <c r="F21" i="12"/>
  <c r="G21" i="12"/>
  <c r="H21" i="12"/>
  <c r="I21" i="12"/>
  <c r="J21" i="12"/>
  <c r="C21" i="12"/>
  <c r="E17" i="12"/>
  <c r="F17" i="12"/>
  <c r="G17" i="12"/>
  <c r="H17" i="12"/>
  <c r="I17" i="12"/>
  <c r="J17" i="12"/>
  <c r="C17" i="12"/>
  <c r="K303" i="12" l="1"/>
  <c r="K75" i="12"/>
  <c r="L194" i="12"/>
  <c r="K86" i="12"/>
  <c r="K236" i="12"/>
  <c r="L63" i="12"/>
  <c r="H54" i="17"/>
  <c r="K312" i="12"/>
  <c r="L312" i="12"/>
  <c r="L303" i="12"/>
  <c r="K281" i="12"/>
  <c r="H52" i="17"/>
  <c r="L281" i="12"/>
  <c r="K214" i="12"/>
  <c r="K249" i="12"/>
  <c r="L214" i="12"/>
  <c r="L249" i="12"/>
  <c r="K225" i="12"/>
  <c r="K263" i="12"/>
  <c r="L225" i="12"/>
  <c r="L263" i="12"/>
  <c r="L236" i="12"/>
  <c r="L183" i="12"/>
  <c r="L131" i="12"/>
  <c r="K133" i="12"/>
  <c r="L168" i="12"/>
  <c r="L133" i="12"/>
  <c r="L155" i="12"/>
  <c r="K144" i="12"/>
  <c r="L144" i="12"/>
  <c r="K131" i="12"/>
  <c r="K155" i="12"/>
  <c r="L105" i="12"/>
  <c r="K102" i="12"/>
  <c r="L95" i="12"/>
  <c r="L102" i="12"/>
  <c r="L86" i="12"/>
  <c r="L75" i="12"/>
  <c r="H77" i="17"/>
  <c r="C274" i="12"/>
  <c r="F22" i="12"/>
  <c r="C22" i="12"/>
  <c r="H39" i="17" s="1"/>
  <c r="E274" i="12"/>
  <c r="J22" i="12"/>
  <c r="I274" i="12"/>
  <c r="I22" i="12"/>
  <c r="E22" i="12"/>
  <c r="I125" i="12"/>
  <c r="E125" i="12"/>
  <c r="J125" i="12"/>
  <c r="E304" i="12"/>
  <c r="E315" i="12" s="1"/>
  <c r="H22" i="12"/>
  <c r="G61" i="12"/>
  <c r="D304" i="12"/>
  <c r="G22" i="12"/>
  <c r="J61" i="12"/>
  <c r="F125" i="12"/>
  <c r="H125" i="12"/>
  <c r="H274" i="12"/>
  <c r="H61" i="12"/>
  <c r="I61" i="12"/>
  <c r="E61" i="12"/>
  <c r="D197" i="12"/>
  <c r="G274" i="12"/>
  <c r="G125" i="12"/>
  <c r="E197" i="12"/>
  <c r="F274" i="12"/>
  <c r="F197" i="12"/>
  <c r="D125" i="12"/>
  <c r="I197" i="12"/>
  <c r="D274" i="12"/>
  <c r="J274" i="12"/>
  <c r="L274" i="12" l="1"/>
  <c r="H72" i="17" s="1"/>
  <c r="H49" i="17"/>
  <c r="K274" i="12"/>
  <c r="L125" i="12"/>
  <c r="H65" i="17" s="1"/>
  <c r="D315" i="12"/>
  <c r="H4" i="5"/>
  <c r="E198" i="12"/>
  <c r="I198" i="12"/>
  <c r="H16" i="17" l="1"/>
  <c r="E275" i="12"/>
  <c r="E316" i="12" l="1"/>
  <c r="D313" i="11"/>
  <c r="E313" i="11"/>
  <c r="F313" i="11"/>
  <c r="G313" i="11"/>
  <c r="H313" i="11"/>
  <c r="I313" i="11"/>
  <c r="J313" i="11"/>
  <c r="C313" i="11"/>
  <c r="D306" i="11"/>
  <c r="E306" i="11"/>
  <c r="F306" i="11"/>
  <c r="G306" i="11"/>
  <c r="H306" i="11"/>
  <c r="I306" i="11"/>
  <c r="J306" i="11"/>
  <c r="C306" i="11"/>
  <c r="D298" i="11"/>
  <c r="E298" i="11"/>
  <c r="F298" i="11"/>
  <c r="G298" i="11"/>
  <c r="H298" i="11"/>
  <c r="I298" i="11"/>
  <c r="J298" i="11"/>
  <c r="C298" i="11"/>
  <c r="D53" i="17" s="1"/>
  <c r="D295" i="11"/>
  <c r="E295" i="11"/>
  <c r="C295" i="11"/>
  <c r="D288" i="11"/>
  <c r="E288" i="11"/>
  <c r="F288" i="11"/>
  <c r="G288" i="11"/>
  <c r="H288" i="11"/>
  <c r="I288" i="11"/>
  <c r="J288" i="11"/>
  <c r="C288" i="11"/>
  <c r="D271" i="11"/>
  <c r="E271" i="11"/>
  <c r="F271" i="11"/>
  <c r="G271" i="11"/>
  <c r="H271" i="11"/>
  <c r="I271" i="11"/>
  <c r="J271" i="11"/>
  <c r="C271" i="11"/>
  <c r="D261" i="11"/>
  <c r="E261" i="11"/>
  <c r="F261" i="11"/>
  <c r="G261" i="11"/>
  <c r="H261" i="11"/>
  <c r="I261" i="11"/>
  <c r="J261" i="11"/>
  <c r="C261" i="11"/>
  <c r="D245" i="11"/>
  <c r="E245" i="11"/>
  <c r="F245" i="11"/>
  <c r="G245" i="11"/>
  <c r="H245" i="11"/>
  <c r="I245" i="11"/>
  <c r="J245" i="11"/>
  <c r="C245" i="11"/>
  <c r="D235" i="11"/>
  <c r="E235" i="11"/>
  <c r="F235" i="11"/>
  <c r="G235" i="11"/>
  <c r="H235" i="11"/>
  <c r="I235" i="11"/>
  <c r="J235" i="11"/>
  <c r="C235" i="11"/>
  <c r="D231" i="11"/>
  <c r="E231" i="11"/>
  <c r="F231" i="11"/>
  <c r="G231" i="11"/>
  <c r="H231" i="11"/>
  <c r="I231" i="11"/>
  <c r="J231" i="11"/>
  <c r="C231" i="11"/>
  <c r="D211" i="11"/>
  <c r="E211" i="11"/>
  <c r="F211" i="11"/>
  <c r="G211" i="11"/>
  <c r="H211" i="11"/>
  <c r="I211" i="11"/>
  <c r="J211" i="11"/>
  <c r="C211" i="11"/>
  <c r="D206" i="11"/>
  <c r="G206" i="11"/>
  <c r="H206" i="11"/>
  <c r="I206" i="11"/>
  <c r="J206" i="11"/>
  <c r="D203" i="11"/>
  <c r="E203" i="11"/>
  <c r="E209" i="11" s="1"/>
  <c r="F203" i="11"/>
  <c r="G203" i="11"/>
  <c r="H203" i="11"/>
  <c r="I203" i="11"/>
  <c r="J203" i="11"/>
  <c r="C203" i="11"/>
  <c r="D193" i="11"/>
  <c r="E193" i="11"/>
  <c r="F193" i="11"/>
  <c r="G193" i="11"/>
  <c r="H193" i="11"/>
  <c r="I193" i="11"/>
  <c r="J193" i="11"/>
  <c r="C193" i="11"/>
  <c r="C222" i="11" s="1"/>
  <c r="G188" i="11"/>
  <c r="H188" i="11"/>
  <c r="D167" i="11"/>
  <c r="E167" i="11"/>
  <c r="F167" i="11"/>
  <c r="G167" i="11"/>
  <c r="H167" i="11"/>
  <c r="I167" i="11"/>
  <c r="J167" i="11"/>
  <c r="C167" i="11"/>
  <c r="D149" i="11"/>
  <c r="E149" i="11"/>
  <c r="F149" i="11"/>
  <c r="G149" i="11"/>
  <c r="H149" i="11"/>
  <c r="I149" i="11"/>
  <c r="J149" i="11"/>
  <c r="C149" i="11"/>
  <c r="D144" i="11"/>
  <c r="E144" i="11"/>
  <c r="F144" i="11"/>
  <c r="G144" i="11"/>
  <c r="H144" i="11"/>
  <c r="I144" i="11"/>
  <c r="J144" i="11"/>
  <c r="C144" i="11"/>
  <c r="D139" i="11"/>
  <c r="E139" i="11"/>
  <c r="F139" i="11"/>
  <c r="G139" i="11"/>
  <c r="H139" i="11"/>
  <c r="I139" i="11"/>
  <c r="J139" i="11"/>
  <c r="C139" i="11"/>
  <c r="D118" i="11"/>
  <c r="E118" i="11"/>
  <c r="F118" i="11"/>
  <c r="G118" i="11"/>
  <c r="H118" i="11"/>
  <c r="I118" i="11"/>
  <c r="J118" i="11"/>
  <c r="C118" i="11"/>
  <c r="D111" i="11"/>
  <c r="E111" i="11"/>
  <c r="F111" i="11"/>
  <c r="G111" i="11"/>
  <c r="H111" i="11"/>
  <c r="I111" i="11"/>
  <c r="J111" i="11"/>
  <c r="C111" i="11"/>
  <c r="D106" i="11"/>
  <c r="E106" i="11"/>
  <c r="F106" i="11"/>
  <c r="G106" i="11"/>
  <c r="H106" i="11"/>
  <c r="I106" i="11"/>
  <c r="J106" i="11"/>
  <c r="C106" i="11"/>
  <c r="D96" i="11"/>
  <c r="E96" i="11"/>
  <c r="F96" i="11"/>
  <c r="G96" i="11"/>
  <c r="H96" i="11"/>
  <c r="I96" i="11"/>
  <c r="J96" i="11"/>
  <c r="C96" i="11"/>
  <c r="D87" i="11"/>
  <c r="E87" i="11"/>
  <c r="F87" i="11"/>
  <c r="G87" i="11"/>
  <c r="H87" i="11"/>
  <c r="I87" i="11"/>
  <c r="J87" i="11"/>
  <c r="C87" i="11"/>
  <c r="D84" i="11"/>
  <c r="E84" i="11"/>
  <c r="F84" i="11"/>
  <c r="G84" i="11"/>
  <c r="H84" i="11"/>
  <c r="I84" i="11"/>
  <c r="J84" i="11"/>
  <c r="C84" i="11"/>
  <c r="D72" i="11"/>
  <c r="E72" i="11"/>
  <c r="F72" i="11"/>
  <c r="G72" i="11"/>
  <c r="H72" i="11"/>
  <c r="I72" i="11"/>
  <c r="J72" i="11"/>
  <c r="C72" i="11"/>
  <c r="D61" i="11"/>
  <c r="E61" i="11"/>
  <c r="F61" i="11"/>
  <c r="G61" i="11"/>
  <c r="H61" i="11"/>
  <c r="I61" i="11"/>
  <c r="J61" i="11"/>
  <c r="C61" i="11"/>
  <c r="K306" i="11" l="1"/>
  <c r="K84" i="11"/>
  <c r="L211" i="11"/>
  <c r="K106" i="11"/>
  <c r="K144" i="11"/>
  <c r="D54" i="17"/>
  <c r="K313" i="11"/>
  <c r="L313" i="11"/>
  <c r="L306" i="11"/>
  <c r="L288" i="11"/>
  <c r="K288" i="11"/>
  <c r="D52" i="17"/>
  <c r="K271" i="11"/>
  <c r="L271" i="11"/>
  <c r="K261" i="11"/>
  <c r="L261" i="11"/>
  <c r="L245" i="11"/>
  <c r="K245" i="11"/>
  <c r="K235" i="11"/>
  <c r="L235" i="11"/>
  <c r="D48" i="17"/>
  <c r="K231" i="11"/>
  <c r="L231" i="11"/>
  <c r="D71" i="17" s="1"/>
  <c r="K211" i="11"/>
  <c r="K206" i="11"/>
  <c r="L206" i="11"/>
  <c r="K203" i="11"/>
  <c r="L203" i="11"/>
  <c r="L193" i="11"/>
  <c r="K167" i="11"/>
  <c r="L167" i="11"/>
  <c r="K149" i="11"/>
  <c r="L149" i="11"/>
  <c r="L144" i="11"/>
  <c r="K118" i="11"/>
  <c r="L118" i="11"/>
  <c r="K139" i="11"/>
  <c r="L139" i="11"/>
  <c r="K111" i="11"/>
  <c r="L111" i="11"/>
  <c r="L61" i="11"/>
  <c r="L87" i="11"/>
  <c r="K72" i="11"/>
  <c r="K96" i="11"/>
  <c r="L72" i="11"/>
  <c r="L96" i="11"/>
  <c r="L84" i="11"/>
  <c r="L106" i="11"/>
  <c r="K61" i="11"/>
  <c r="K87" i="11"/>
  <c r="D41" i="17"/>
  <c r="K193" i="11"/>
  <c r="L298" i="11"/>
  <c r="D76" i="17" s="1"/>
  <c r="K298" i="11"/>
  <c r="K188" i="11"/>
  <c r="L188" i="11"/>
  <c r="D77" i="17"/>
  <c r="C283" i="11"/>
  <c r="C257" i="11"/>
  <c r="C166" i="11"/>
  <c r="C95" i="11"/>
  <c r="H95" i="11"/>
  <c r="F95" i="11"/>
  <c r="G257" i="11"/>
  <c r="J95" i="11"/>
  <c r="G166" i="11"/>
  <c r="E222" i="11"/>
  <c r="I257" i="11"/>
  <c r="E257" i="11"/>
  <c r="G283" i="11"/>
  <c r="H257" i="11"/>
  <c r="H166" i="11"/>
  <c r="D166" i="11"/>
  <c r="I166" i="11"/>
  <c r="E166" i="11"/>
  <c r="J283" i="11"/>
  <c r="F283" i="11"/>
  <c r="C307" i="11"/>
  <c r="D51" i="17" s="1"/>
  <c r="D50" i="17" s="1"/>
  <c r="I95" i="11"/>
  <c r="D257" i="11"/>
  <c r="D95" i="11"/>
  <c r="E95" i="11"/>
  <c r="J257" i="11"/>
  <c r="F257" i="11"/>
  <c r="D222" i="11"/>
  <c r="I283" i="11"/>
  <c r="E283" i="11"/>
  <c r="G95" i="11"/>
  <c r="J166" i="11"/>
  <c r="F166" i="11"/>
  <c r="H283" i="11"/>
  <c r="D283" i="11"/>
  <c r="D50" i="11"/>
  <c r="E50" i="11"/>
  <c r="E83" i="11" s="1"/>
  <c r="F50" i="11"/>
  <c r="F83" i="11" s="1"/>
  <c r="G50" i="11"/>
  <c r="G83" i="11" s="1"/>
  <c r="H50" i="11"/>
  <c r="H83" i="11" s="1"/>
  <c r="I50" i="11"/>
  <c r="I83" i="11" s="1"/>
  <c r="J50" i="11"/>
  <c r="J83" i="11" s="1"/>
  <c r="C50" i="11"/>
  <c r="E36" i="11"/>
  <c r="F36" i="11"/>
  <c r="G36" i="11"/>
  <c r="H36" i="11"/>
  <c r="I36" i="11"/>
  <c r="J36" i="11"/>
  <c r="C36" i="11"/>
  <c r="C25" i="11"/>
  <c r="D25" i="11"/>
  <c r="E25" i="11"/>
  <c r="F25" i="11"/>
  <c r="G25" i="11"/>
  <c r="H25" i="11"/>
  <c r="I25" i="11"/>
  <c r="J25" i="11"/>
  <c r="D14" i="11"/>
  <c r="E14" i="11"/>
  <c r="F14" i="11"/>
  <c r="G14" i="11"/>
  <c r="H14" i="11"/>
  <c r="I14" i="11"/>
  <c r="J14" i="11"/>
  <c r="C14" i="11"/>
  <c r="L95" i="11" l="1"/>
  <c r="L283" i="11"/>
  <c r="L257" i="11"/>
  <c r="D65" i="17" s="1"/>
  <c r="K166" i="11"/>
  <c r="L166" i="11"/>
  <c r="L50" i="11"/>
  <c r="K95" i="11"/>
  <c r="C83" i="11"/>
  <c r="K50" i="11"/>
  <c r="K25" i="11"/>
  <c r="L14" i="11"/>
  <c r="K14" i="11"/>
  <c r="L25" i="11"/>
  <c r="D49" i="17"/>
  <c r="K283" i="11"/>
  <c r="D42" i="17"/>
  <c r="K257" i="11"/>
  <c r="C186" i="11"/>
  <c r="D40" i="17" s="1"/>
  <c r="L36" i="11"/>
  <c r="K36" i="11"/>
  <c r="D72" i="17"/>
  <c r="D186" i="11"/>
  <c r="F186" i="11"/>
  <c r="C316" i="11"/>
  <c r="H186" i="11"/>
  <c r="H47" i="11"/>
  <c r="J186" i="11"/>
  <c r="G47" i="11"/>
  <c r="G186" i="11"/>
  <c r="E186" i="11"/>
  <c r="I47" i="11"/>
  <c r="E47" i="11"/>
  <c r="D47" i="11"/>
  <c r="J47" i="11"/>
  <c r="D83" i="11"/>
  <c r="I186" i="11"/>
  <c r="F47" i="11"/>
  <c r="D15" i="17"/>
  <c r="E12" i="23" s="1"/>
  <c r="I12" i="23" s="1"/>
  <c r="D21" i="17"/>
  <c r="E17" i="23" s="1"/>
  <c r="D23" i="17"/>
  <c r="D24" i="17"/>
  <c r="K11" i="11"/>
  <c r="I17" i="23" l="1"/>
  <c r="E16" i="23"/>
  <c r="L83" i="11"/>
  <c r="D70" i="17" s="1"/>
  <c r="D69" i="17" s="1"/>
  <c r="D47" i="17"/>
  <c r="D46" i="17" s="1"/>
  <c r="K83" i="11"/>
  <c r="L186" i="11"/>
  <c r="D63" i="17" s="1"/>
  <c r="K186" i="11"/>
  <c r="L47" i="11"/>
  <c r="D62" i="17" s="1"/>
  <c r="E284" i="11"/>
  <c r="D284" i="11"/>
  <c r="C47" i="11"/>
  <c r="K47" i="11" s="1"/>
  <c r="I16" i="23" l="1"/>
  <c r="E301" i="11"/>
  <c r="D39" i="17"/>
  <c r="D38" i="17" s="1"/>
  <c r="D37" i="17" s="1"/>
  <c r="C284" i="11"/>
  <c r="C317" i="11" s="1"/>
  <c r="D57" i="17" l="1"/>
  <c r="I43" i="23"/>
  <c r="E307" i="11"/>
  <c r="K5" i="7"/>
  <c r="L5" i="7"/>
  <c r="J5" i="7"/>
  <c r="N9" i="7"/>
  <c r="N10" i="7"/>
  <c r="N11" i="7"/>
  <c r="N12" i="7"/>
  <c r="N19" i="7"/>
  <c r="I11" i="7"/>
  <c r="I12" i="7"/>
  <c r="I19" i="7"/>
  <c r="I20" i="7"/>
  <c r="I23" i="7"/>
  <c r="I34" i="7"/>
  <c r="N34" i="7"/>
  <c r="E316" i="11" l="1"/>
  <c r="I10" i="7"/>
  <c r="B5" i="7"/>
  <c r="N23" i="7"/>
  <c r="E317" i="11" l="1"/>
  <c r="C196" i="12" l="1"/>
  <c r="E4" i="5" l="1"/>
  <c r="F4" i="5" s="1"/>
  <c r="D4" i="5" l="1"/>
  <c r="E319" i="12"/>
  <c r="C5" i="7" l="1"/>
  <c r="F5" i="7"/>
  <c r="G5" i="7"/>
  <c r="I9" i="7"/>
  <c r="N6" i="7"/>
  <c r="N7" i="7"/>
  <c r="N8" i="7"/>
  <c r="D5" i="7"/>
  <c r="M5" i="7" l="1"/>
  <c r="N20" i="7"/>
  <c r="N5" i="7" s="1"/>
  <c r="I73" i="7" l="1"/>
  <c r="I65" i="7"/>
  <c r="I66" i="7"/>
  <c r="I67" i="7"/>
  <c r="I68" i="7"/>
  <c r="I59" i="7"/>
  <c r="I55" i="7"/>
  <c r="I52" i="7"/>
  <c r="F287" i="12" l="1"/>
  <c r="G287" i="12"/>
  <c r="H287" i="12"/>
  <c r="I287" i="12"/>
  <c r="J287" i="12"/>
  <c r="F282" i="12"/>
  <c r="G282" i="12"/>
  <c r="H282" i="12"/>
  <c r="I282" i="12"/>
  <c r="J282" i="12"/>
  <c r="L282" i="12" l="1"/>
  <c r="K282" i="12"/>
  <c r="L287" i="12"/>
  <c r="K287" i="12"/>
  <c r="I294" i="12"/>
  <c r="I304" i="12" s="1"/>
  <c r="I315" i="12" s="1"/>
  <c r="H294" i="12"/>
  <c r="H304" i="12" s="1"/>
  <c r="H315" i="12" s="1"/>
  <c r="G294" i="12"/>
  <c r="G304" i="12" s="1"/>
  <c r="G315" i="12" s="1"/>
  <c r="J294" i="12"/>
  <c r="J304" i="12" s="1"/>
  <c r="J315" i="12" s="1"/>
  <c r="F294" i="12"/>
  <c r="F289" i="11"/>
  <c r="G289" i="11"/>
  <c r="G295" i="11" s="1"/>
  <c r="H289" i="11"/>
  <c r="H295" i="11" s="1"/>
  <c r="I289" i="11"/>
  <c r="I295" i="11" s="1"/>
  <c r="J289" i="11"/>
  <c r="J295" i="11" s="1"/>
  <c r="F217" i="11"/>
  <c r="G217" i="11"/>
  <c r="H217" i="11"/>
  <c r="I217" i="11"/>
  <c r="J217" i="11"/>
  <c r="L289" i="11" l="1"/>
  <c r="K289" i="11"/>
  <c r="K217" i="11"/>
  <c r="L217" i="11"/>
  <c r="L294" i="12"/>
  <c r="K294" i="12"/>
  <c r="F304" i="12"/>
  <c r="L304" i="12" s="1"/>
  <c r="F295" i="11"/>
  <c r="I209" i="11"/>
  <c r="H209" i="11"/>
  <c r="J209" i="11"/>
  <c r="G209" i="11"/>
  <c r="F209" i="11"/>
  <c r="L295" i="11" l="1"/>
  <c r="D75" i="17" s="1"/>
  <c r="K295" i="11"/>
  <c r="D20" i="17" s="1"/>
  <c r="K209" i="11"/>
  <c r="L209" i="11"/>
  <c r="H74" i="17"/>
  <c r="H73" i="17" s="1"/>
  <c r="F315" i="12"/>
  <c r="L315" i="12" s="1"/>
  <c r="D16" i="17"/>
  <c r="G13" i="23" s="1"/>
  <c r="D9" i="17"/>
  <c r="E9" i="23" s="1"/>
  <c r="I9" i="23" s="1"/>
  <c r="D14" i="17"/>
  <c r="E11" i="23" s="1"/>
  <c r="E10" i="23" l="1"/>
  <c r="I11" i="23"/>
  <c r="I13" i="23"/>
  <c r="G10" i="23"/>
  <c r="G14" i="23" s="1"/>
  <c r="G21" i="23" s="1"/>
  <c r="G22" i="23" s="1"/>
  <c r="D13" i="17"/>
  <c r="D7" i="17"/>
  <c r="E7" i="23" s="1"/>
  <c r="I7" i="23" s="1"/>
  <c r="N42" i="7"/>
  <c r="N35" i="7" s="1"/>
  <c r="I10" i="23" l="1"/>
  <c r="I6" i="7"/>
  <c r="H5" i="7"/>
  <c r="I41" i="7"/>
  <c r="O5" i="7" l="1"/>
  <c r="F46" i="12"/>
  <c r="F60" i="12"/>
  <c r="F61" i="12" l="1"/>
  <c r="I134" i="7"/>
  <c r="N134" i="7"/>
  <c r="I7" i="7"/>
  <c r="F198" i="12" l="1"/>
  <c r="I167" i="7"/>
  <c r="N87" i="7" l="1"/>
  <c r="C81" i="7" l="1"/>
  <c r="D81" i="7"/>
  <c r="E81" i="7"/>
  <c r="F81" i="7"/>
  <c r="G81" i="7"/>
  <c r="H81" i="7"/>
  <c r="B81" i="7"/>
  <c r="F207" i="12" l="1"/>
  <c r="I37" i="7"/>
  <c r="I36" i="7"/>
  <c r="I168" i="7"/>
  <c r="N161" i="7"/>
  <c r="N164" i="7"/>
  <c r="N165" i="7"/>
  <c r="N160" i="7"/>
  <c r="I161" i="7"/>
  <c r="I164" i="7"/>
  <c r="I165" i="7"/>
  <c r="I160" i="7"/>
  <c r="N146" i="7"/>
  <c r="N147" i="7"/>
  <c r="N149" i="7"/>
  <c r="N150" i="7"/>
  <c r="N152" i="7"/>
  <c r="N153" i="7"/>
  <c r="N154" i="7"/>
  <c r="N155" i="7"/>
  <c r="N157" i="7"/>
  <c r="N158" i="7"/>
  <c r="I146" i="7"/>
  <c r="I147" i="7"/>
  <c r="I149" i="7"/>
  <c r="I150" i="7"/>
  <c r="I152" i="7"/>
  <c r="I153" i="7"/>
  <c r="I154" i="7"/>
  <c r="I155" i="7"/>
  <c r="I157" i="7"/>
  <c r="I158" i="7"/>
  <c r="N131" i="7"/>
  <c r="N132" i="7"/>
  <c r="N135" i="7"/>
  <c r="N136" i="7"/>
  <c r="N138" i="7"/>
  <c r="N139" i="7"/>
  <c r="N140" i="7"/>
  <c r="N141" i="7"/>
  <c r="N142" i="7"/>
  <c r="N143" i="7"/>
  <c r="I131" i="7"/>
  <c r="I132" i="7"/>
  <c r="I135" i="7"/>
  <c r="I136" i="7"/>
  <c r="I138" i="7"/>
  <c r="I139" i="7"/>
  <c r="I140" i="7"/>
  <c r="I141" i="7"/>
  <c r="I142" i="7"/>
  <c r="I143" i="7"/>
  <c r="N110" i="7"/>
  <c r="N112" i="7"/>
  <c r="N113" i="7"/>
  <c r="N114" i="7"/>
  <c r="N116" i="7"/>
  <c r="N118" i="7"/>
  <c r="N119" i="7"/>
  <c r="N121" i="7"/>
  <c r="N123" i="7"/>
  <c r="N124" i="7"/>
  <c r="N125" i="7"/>
  <c r="N126" i="7"/>
  <c r="N127" i="7"/>
  <c r="N128" i="7"/>
  <c r="I110" i="7"/>
  <c r="I112" i="7"/>
  <c r="I113" i="7"/>
  <c r="I114" i="7"/>
  <c r="I116" i="7"/>
  <c r="I118" i="7"/>
  <c r="I119" i="7"/>
  <c r="I121" i="7"/>
  <c r="I123" i="7"/>
  <c r="I124" i="7"/>
  <c r="I125" i="7"/>
  <c r="I126" i="7"/>
  <c r="I127" i="7"/>
  <c r="I128" i="7"/>
  <c r="N83" i="7"/>
  <c r="N84" i="7"/>
  <c r="N85" i="7"/>
  <c r="N86" i="7"/>
  <c r="N88" i="7"/>
  <c r="N89" i="7"/>
  <c r="N90" i="7"/>
  <c r="N91" i="7"/>
  <c r="N92" i="7"/>
  <c r="N93" i="7"/>
  <c r="N94" i="7"/>
  <c r="N95" i="7"/>
  <c r="N96" i="7"/>
  <c r="N97" i="7"/>
  <c r="N98" i="7"/>
  <c r="N99" i="7"/>
  <c r="N107" i="7"/>
  <c r="N82" i="7"/>
  <c r="I83" i="7"/>
  <c r="I84" i="7"/>
  <c r="I85" i="7"/>
  <c r="I86" i="7"/>
  <c r="I88" i="7"/>
  <c r="I89" i="7"/>
  <c r="I90" i="7"/>
  <c r="I91" i="7"/>
  <c r="I92" i="7"/>
  <c r="I93" i="7"/>
  <c r="I94" i="7"/>
  <c r="I95" i="7"/>
  <c r="I96" i="7"/>
  <c r="I97" i="7"/>
  <c r="I98" i="7"/>
  <c r="I99" i="7"/>
  <c r="I107" i="7"/>
  <c r="I82" i="7"/>
  <c r="N45" i="7"/>
  <c r="N46" i="7"/>
  <c r="N47" i="7"/>
  <c r="N48" i="7"/>
  <c r="N50" i="7"/>
  <c r="N51" i="7"/>
  <c r="N53" i="7"/>
  <c r="N54" i="7"/>
  <c r="N56" i="7"/>
  <c r="N57" i="7"/>
  <c r="N58" i="7"/>
  <c r="N60" i="7"/>
  <c r="N61" i="7"/>
  <c r="N62" i="7"/>
  <c r="N63" i="7"/>
  <c r="N64" i="7"/>
  <c r="N69" i="7"/>
  <c r="N70" i="7"/>
  <c r="N71" i="7"/>
  <c r="N72" i="7"/>
  <c r="N78" i="7"/>
  <c r="N79" i="7"/>
  <c r="N80" i="7"/>
  <c r="N44" i="7"/>
  <c r="I45" i="7"/>
  <c r="I46" i="7"/>
  <c r="I47" i="7"/>
  <c r="I48" i="7"/>
  <c r="I50" i="7"/>
  <c r="I51" i="7"/>
  <c r="I53" i="7"/>
  <c r="I54" i="7"/>
  <c r="I56" i="7"/>
  <c r="I57" i="7"/>
  <c r="I58" i="7"/>
  <c r="I60" i="7"/>
  <c r="I61" i="7"/>
  <c r="I62" i="7"/>
  <c r="I63" i="7"/>
  <c r="I64" i="7"/>
  <c r="I69" i="7"/>
  <c r="I70" i="7"/>
  <c r="I71" i="7"/>
  <c r="I72" i="7"/>
  <c r="I74" i="7"/>
  <c r="I77" i="7"/>
  <c r="I78" i="7"/>
  <c r="I79" i="7"/>
  <c r="I80" i="7"/>
  <c r="I44" i="7"/>
  <c r="N43" i="7" l="1"/>
  <c r="I35" i="7"/>
  <c r="I43" i="7"/>
  <c r="J166" i="7"/>
  <c r="L166" i="7"/>
  <c r="M166" i="7"/>
  <c r="N166" i="7"/>
  <c r="K166" i="7"/>
  <c r="B166" i="7"/>
  <c r="C166" i="7"/>
  <c r="E166" i="7"/>
  <c r="F166" i="7"/>
  <c r="G166" i="7"/>
  <c r="H166" i="7"/>
  <c r="D166" i="7"/>
  <c r="J159" i="7" l="1"/>
  <c r="L159" i="7"/>
  <c r="M159" i="7"/>
  <c r="K159" i="7"/>
  <c r="B159" i="7"/>
  <c r="C159" i="7"/>
  <c r="D159" i="7"/>
  <c r="F159" i="7"/>
  <c r="G159" i="7"/>
  <c r="H159" i="7"/>
  <c r="E159" i="7"/>
  <c r="J207" i="12" l="1"/>
  <c r="K144" i="7"/>
  <c r="L144" i="7"/>
  <c r="M144" i="7"/>
  <c r="J144" i="7"/>
  <c r="B144" i="7"/>
  <c r="C144" i="7"/>
  <c r="D144" i="7"/>
  <c r="F144" i="7"/>
  <c r="G144" i="7"/>
  <c r="H144" i="7"/>
  <c r="E144" i="7"/>
  <c r="J212" i="12" l="1"/>
  <c r="I207" i="12"/>
  <c r="I212" i="12"/>
  <c r="B129" i="7"/>
  <c r="C129" i="7"/>
  <c r="D129" i="7"/>
  <c r="K129" i="7"/>
  <c r="L129" i="7"/>
  <c r="M129" i="7"/>
  <c r="J129" i="7"/>
  <c r="H212" i="12" l="1"/>
  <c r="H207" i="12"/>
  <c r="I275" i="12"/>
  <c r="J108" i="7"/>
  <c r="C108" i="7"/>
  <c r="D108" i="7"/>
  <c r="B108" i="7"/>
  <c r="C4" i="7" l="1"/>
  <c r="I316" i="12"/>
  <c r="G207" i="12"/>
  <c r="I108" i="7"/>
  <c r="K108" i="7"/>
  <c r="L108" i="7"/>
  <c r="M108" i="7"/>
  <c r="L207" i="12" l="1"/>
  <c r="H70" i="17" s="1"/>
  <c r="G212" i="12"/>
  <c r="N108" i="7"/>
  <c r="J4" i="7" l="1"/>
  <c r="I8" i="7"/>
  <c r="I5" i="7" s="1"/>
  <c r="P5" i="7" s="1"/>
  <c r="F212" i="12" l="1"/>
  <c r="L212" i="12" s="1"/>
  <c r="H71" i="17" l="1"/>
  <c r="H69" i="17" s="1"/>
  <c r="F275" i="12"/>
  <c r="F222" i="11"/>
  <c r="F316" i="12" l="1"/>
  <c r="F284" i="11"/>
  <c r="J166" i="12"/>
  <c r="J219" i="11"/>
  <c r="I219" i="11"/>
  <c r="H166" i="12"/>
  <c r="H219" i="11"/>
  <c r="G166" i="12"/>
  <c r="F301" i="11" l="1"/>
  <c r="K219" i="11"/>
  <c r="L219" i="11"/>
  <c r="L166" i="12"/>
  <c r="K166" i="12"/>
  <c r="G197" i="12"/>
  <c r="J197" i="12"/>
  <c r="H197" i="12"/>
  <c r="H198" i="12" s="1"/>
  <c r="J222" i="11"/>
  <c r="I222" i="11"/>
  <c r="G222" i="11"/>
  <c r="L197" i="12" l="1"/>
  <c r="H66" i="17"/>
  <c r="J198" i="12"/>
  <c r="G198" i="12"/>
  <c r="I284" i="11"/>
  <c r="I301" i="11" s="1"/>
  <c r="J284" i="11"/>
  <c r="G2" i="5"/>
  <c r="H222" i="11"/>
  <c r="G284" i="11"/>
  <c r="K222" i="11" l="1"/>
  <c r="L222" i="11"/>
  <c r="D64" i="17" s="1"/>
  <c r="G275" i="12"/>
  <c r="J275" i="12"/>
  <c r="H275" i="12"/>
  <c r="H284" i="11"/>
  <c r="K284" i="11" s="1"/>
  <c r="L284" i="11" l="1"/>
  <c r="J316" i="12"/>
  <c r="J301" i="11" s="1"/>
  <c r="H316" i="12"/>
  <c r="H301" i="11" s="1"/>
  <c r="G316" i="12"/>
  <c r="G301" i="11" s="1"/>
  <c r="D8" i="17"/>
  <c r="E8" i="23" l="1"/>
  <c r="I8" i="23" s="1"/>
  <c r="D61" i="17"/>
  <c r="D60" i="17" s="1"/>
  <c r="B4" i="7" l="1"/>
  <c r="F4" i="7"/>
  <c r="G4" i="7"/>
  <c r="D4" i="7" l="1"/>
  <c r="E4" i="7" l="1"/>
  <c r="K4" i="7" l="1"/>
  <c r="L4" i="7"/>
  <c r="I166" i="7" l="1"/>
  <c r="I129" i="7"/>
  <c r="N129" i="7"/>
  <c r="I144" i="7"/>
  <c r="I81" i="7"/>
  <c r="N159" i="7"/>
  <c r="N144" i="7"/>
  <c r="M4" i="7"/>
  <c r="N4" i="7" l="1"/>
  <c r="H4" i="7" l="1"/>
  <c r="I159" i="7" l="1"/>
  <c r="I4" i="7" s="1"/>
  <c r="P4" i="7" s="1"/>
  <c r="F307" i="11" l="1"/>
  <c r="F316" i="11" l="1"/>
  <c r="F317" i="11" l="1"/>
  <c r="G307" i="11" l="1"/>
  <c r="F319" i="12"/>
  <c r="G316" i="11" l="1"/>
  <c r="H307" i="11" l="1"/>
  <c r="G317" i="11"/>
  <c r="G319" i="12" l="1"/>
  <c r="H316" i="11"/>
  <c r="H317" i="11" l="1"/>
  <c r="H319" i="12" l="1"/>
  <c r="I307" i="11" l="1"/>
  <c r="I316" i="11" l="1"/>
  <c r="I317" i="11" l="1"/>
  <c r="J307" i="11" l="1"/>
  <c r="I319" i="12"/>
  <c r="J316" i="11" l="1"/>
  <c r="D6" i="17" l="1"/>
  <c r="E6" i="23" s="1"/>
  <c r="J317" i="11"/>
  <c r="D5" i="17" l="1"/>
  <c r="D4" i="17" s="1"/>
  <c r="J319" i="12"/>
  <c r="E5" i="23" l="1"/>
  <c r="I6" i="23"/>
  <c r="E2" i="5"/>
  <c r="I5" i="23" l="1"/>
  <c r="E14" i="23"/>
  <c r="F2" i="5"/>
  <c r="I14" i="23" l="1"/>
  <c r="K2" i="5"/>
  <c r="I2" i="5" l="1"/>
  <c r="J2" i="5" s="1"/>
  <c r="H2" i="5" l="1"/>
  <c r="D7" i="12" l="1"/>
  <c r="L25" i="12" l="1"/>
  <c r="K25" i="12"/>
  <c r="L39" i="12"/>
  <c r="L27" i="12"/>
  <c r="K27" i="12"/>
  <c r="L47" i="12"/>
  <c r="L37" i="12"/>
  <c r="K28" i="12"/>
  <c r="L28" i="12"/>
  <c r="L41" i="12"/>
  <c r="L30" i="12"/>
  <c r="K5" i="12"/>
  <c r="L5" i="12"/>
  <c r="L12" i="12"/>
  <c r="K12" i="12"/>
  <c r="K14" i="12"/>
  <c r="L14" i="12"/>
  <c r="K6" i="12"/>
  <c r="L6" i="12"/>
  <c r="L13" i="12"/>
  <c r="K13" i="12"/>
  <c r="K8" i="12"/>
  <c r="L8" i="12"/>
  <c r="L15" i="12"/>
  <c r="K15" i="12"/>
  <c r="K7" i="12"/>
  <c r="L7" i="12"/>
  <c r="L3" i="12"/>
  <c r="K3" i="12"/>
  <c r="L9" i="12"/>
  <c r="K9" i="12"/>
  <c r="K4" i="12"/>
  <c r="L4" i="12"/>
  <c r="L10" i="12"/>
  <c r="K10" i="12"/>
  <c r="L40" i="12" l="1"/>
  <c r="L35" i="12"/>
  <c r="L34" i="12"/>
  <c r="D36" i="12"/>
  <c r="K19" i="12"/>
  <c r="L19" i="12"/>
  <c r="K18" i="12"/>
  <c r="L18" i="12"/>
  <c r="D21" i="12"/>
  <c r="L44" i="12" l="1"/>
  <c r="D46" i="12"/>
  <c r="L31" i="12"/>
  <c r="D33" i="12"/>
  <c r="L36" i="12"/>
  <c r="L43" i="12"/>
  <c r="L11" i="12"/>
  <c r="K11" i="12"/>
  <c r="D17" i="12"/>
  <c r="D22" i="12" s="1"/>
  <c r="L21" i="12"/>
  <c r="K21" i="12"/>
  <c r="L48" i="12" l="1"/>
  <c r="D49" i="12"/>
  <c r="L46" i="12"/>
  <c r="L33" i="12"/>
  <c r="L22" i="12"/>
  <c r="H62" i="17" s="1"/>
  <c r="K22" i="12"/>
  <c r="K17" i="12"/>
  <c r="L17" i="12"/>
  <c r="H6" i="17" l="1"/>
  <c r="L24" i="12"/>
  <c r="K24" i="12"/>
  <c r="D23" i="12"/>
  <c r="L49" i="12"/>
  <c r="L23" i="12" l="1"/>
  <c r="H63" i="17" s="1"/>
  <c r="K23" i="12"/>
  <c r="L50" i="12"/>
  <c r="D60" i="12"/>
  <c r="H7" i="17" l="1"/>
  <c r="D61" i="12"/>
  <c r="L60" i="12"/>
  <c r="L61" i="12" l="1"/>
  <c r="H64" i="17" s="1"/>
  <c r="H61" i="17" s="1"/>
  <c r="H60" i="17" s="1"/>
  <c r="H80" i="17" s="1"/>
  <c r="D198" i="12"/>
  <c r="D275" i="12" l="1"/>
  <c r="L198" i="12"/>
  <c r="L275" i="12" l="1"/>
  <c r="D316" i="12"/>
  <c r="D301" i="11" l="1"/>
  <c r="L316" i="12"/>
  <c r="D307" i="11" l="1"/>
  <c r="L301" i="11"/>
  <c r="K301" i="11"/>
  <c r="D19" i="17" l="1"/>
  <c r="D316" i="11"/>
  <c r="K307" i="11"/>
  <c r="L307" i="11"/>
  <c r="D74" i="17" s="1"/>
  <c r="D73" i="17" s="1"/>
  <c r="D80" i="17" s="1"/>
  <c r="D27" i="17" l="1"/>
  <c r="E20" i="23"/>
  <c r="C297" i="12"/>
  <c r="H19" i="17" s="1"/>
  <c r="H27" i="17" s="1"/>
  <c r="D18" i="17"/>
  <c r="D25" i="17" s="1"/>
  <c r="L316" i="11"/>
  <c r="K316" i="11"/>
  <c r="D317" i="11"/>
  <c r="I20" i="23" l="1"/>
  <c r="E15" i="23"/>
  <c r="C304" i="12"/>
  <c r="D17" i="17"/>
  <c r="D26" i="17" s="1"/>
  <c r="H53" i="17"/>
  <c r="K297" i="12"/>
  <c r="K317" i="11"/>
  <c r="L317" i="11"/>
  <c r="D319" i="12"/>
  <c r="C315" i="12" l="1"/>
  <c r="K315" i="12" s="1"/>
  <c r="H18" i="17"/>
  <c r="H17" i="17" s="1"/>
  <c r="I15" i="23"/>
  <c r="E21" i="23"/>
  <c r="H51" i="17"/>
  <c r="H50" i="17" s="1"/>
  <c r="K304" i="12"/>
  <c r="D28" i="17"/>
  <c r="I21" i="23" l="1"/>
  <c r="E22" i="23"/>
  <c r="I22" i="23" s="1"/>
  <c r="H25" i="17"/>
  <c r="D33" i="17"/>
  <c r="K202" i="12" l="1"/>
  <c r="K199" i="12"/>
  <c r="K200" i="12" l="1"/>
  <c r="K95" i="12"/>
  <c r="K63" i="12"/>
  <c r="K196" i="12" l="1"/>
  <c r="H45" i="17"/>
  <c r="K195" i="12"/>
  <c r="C194" i="12"/>
  <c r="H44" i="17"/>
  <c r="K203" i="12"/>
  <c r="K51" i="12"/>
  <c r="K48" i="12"/>
  <c r="K43" i="12"/>
  <c r="K41" i="12"/>
  <c r="K40" i="12"/>
  <c r="K39" i="12"/>
  <c r="K38" i="12"/>
  <c r="K37" i="12"/>
  <c r="K35" i="12"/>
  <c r="K31" i="12"/>
  <c r="C49" i="12" l="1"/>
  <c r="K49" i="12" s="1"/>
  <c r="K47" i="12"/>
  <c r="K52" i="12"/>
  <c r="C36" i="12"/>
  <c r="K36" i="12" s="1"/>
  <c r="K34" i="12"/>
  <c r="K209" i="12"/>
  <c r="K211" i="12"/>
  <c r="K210" i="12"/>
  <c r="K194" i="12"/>
  <c r="K208" i="12" l="1"/>
  <c r="C212" i="12"/>
  <c r="K206" i="12"/>
  <c r="C207" i="12"/>
  <c r="K105" i="12"/>
  <c r="C125" i="12"/>
  <c r="C33" i="12" l="1"/>
  <c r="K33" i="12" s="1"/>
  <c r="K30" i="12"/>
  <c r="H48" i="17"/>
  <c r="K212" i="12"/>
  <c r="H47" i="17"/>
  <c r="K207" i="12"/>
  <c r="H14" i="17" s="1"/>
  <c r="K168" i="12"/>
  <c r="K125" i="12"/>
  <c r="H42" i="17"/>
  <c r="H46" i="17" l="1"/>
  <c r="H15" i="17"/>
  <c r="C46" i="12"/>
  <c r="K46" i="12" s="1"/>
  <c r="K44" i="12"/>
  <c r="K50" i="12"/>
  <c r="C60" i="12"/>
  <c r="H9" i="17"/>
  <c r="H13" i="17" l="1"/>
  <c r="D32" i="17" s="1"/>
  <c r="C61" i="12"/>
  <c r="K60" i="12"/>
  <c r="H41" i="17" l="1"/>
  <c r="K61" i="12"/>
  <c r="H8" i="17" s="1"/>
  <c r="K183" i="12" l="1"/>
  <c r="C2" i="5" s="1"/>
  <c r="C197" i="12"/>
  <c r="H10" i="17" l="1"/>
  <c r="H5" i="17" s="1"/>
  <c r="K197" i="12"/>
  <c r="H43" i="17"/>
  <c r="H38" i="17" s="1"/>
  <c r="H37" i="17" s="1"/>
  <c r="H57" i="17" s="1"/>
  <c r="C198" i="12"/>
  <c r="K198" i="12" l="1"/>
  <c r="C275" i="12"/>
  <c r="D31" i="17"/>
  <c r="D30" i="17" s="1"/>
  <c r="D34" i="17" s="1"/>
  <c r="H4" i="17"/>
  <c r="H26" i="17" s="1"/>
  <c r="H28" i="17" l="1"/>
  <c r="C316" i="12"/>
  <c r="K275" i="12"/>
  <c r="K316" i="12" l="1"/>
  <c r="C319" i="12"/>
  <c r="K319" i="12" s="1"/>
  <c r="L319" i="12" l="1"/>
</calcChain>
</file>

<file path=xl/comments1.xml><?xml version="1.0" encoding="utf-8"?>
<comments xmlns="http://schemas.openxmlformats.org/spreadsheetml/2006/main">
  <authors>
    <author>Volosin Katalin</author>
  </authors>
  <commentList>
    <comment ref="A6" authorId="0" shapeId="0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céltartalék</t>
        </r>
      </text>
    </comment>
  </commentList>
</comments>
</file>

<file path=xl/connections.xml><?xml version="1.0" encoding="utf-8"?>
<connections xmlns="http://schemas.openxmlformats.org/spreadsheetml/2006/main">
  <connection id="1" keepAlive="1" name="Lekérdezés - 3  Kiadások" description="A munkafüzetben levő „3  Kiadások” lekérdezés kapcsolata" type="5" refreshedVersion="6" background="1" saveData="1">
    <dbPr connection="Provider=Microsoft.Mashup.OleDb.1;Data Source=$Workbook$;Location=3  Kiadások;Extended Properties=&quot;&quot;" command="SELECT * FROM [3  Kiadások]"/>
  </connection>
</connections>
</file>

<file path=xl/sharedStrings.xml><?xml version="1.0" encoding="utf-8"?>
<sst xmlns="http://schemas.openxmlformats.org/spreadsheetml/2006/main" count="1604" uniqueCount="1237">
  <si>
    <t>Közhatalmi bevételek</t>
  </si>
  <si>
    <t>Működési célú átvett pénzeszközök</t>
  </si>
  <si>
    <t>Személyi juttatások</t>
  </si>
  <si>
    <t>Dologi kiadások</t>
  </si>
  <si>
    <t>Egyéb működési célú kiadások</t>
  </si>
  <si>
    <t>Beruházások</t>
  </si>
  <si>
    <t>Felújítások</t>
  </si>
  <si>
    <t>Egyéb felhalmozási célú kiadások</t>
  </si>
  <si>
    <t>Ellátottak pénzbeli juttatásai</t>
  </si>
  <si>
    <t>Általános tartalék</t>
  </si>
  <si>
    <t>B1</t>
  </si>
  <si>
    <t>B2</t>
  </si>
  <si>
    <t>B3</t>
  </si>
  <si>
    <t>B4</t>
  </si>
  <si>
    <t>Működési bevételek</t>
  </si>
  <si>
    <t>B5</t>
  </si>
  <si>
    <t>Felhalmozási bevételek</t>
  </si>
  <si>
    <t>B6</t>
  </si>
  <si>
    <t>B7</t>
  </si>
  <si>
    <t>Felhalmozási célú átvett pénzeszközök</t>
  </si>
  <si>
    <t>B8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</si>
  <si>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</si>
  <si>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</si>
  <si>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</si>
  <si>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</si>
  <si>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</si>
  <si>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</si>
  <si>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</si>
  <si>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</si>
  <si>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</si>
  <si>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BEVÉTELEK</t>
  </si>
  <si>
    <t>Költségvetési bevételek</t>
  </si>
  <si>
    <t>BEVÉTELEK MINDÖSSZESEN</t>
  </si>
  <si>
    <t>KIADÁSOK</t>
  </si>
  <si>
    <t>Költségvetési kiadások</t>
  </si>
  <si>
    <t>Működési kiadások</t>
  </si>
  <si>
    <t>Felhalmozási kiadások</t>
  </si>
  <si>
    <t>KIADÁSOK MINDÖSSZESEN</t>
  </si>
  <si>
    <t>Költségvetési egyenleg</t>
  </si>
  <si>
    <t>Működési egyenleg</t>
  </si>
  <si>
    <t>Felhalmozási egyenleg</t>
  </si>
  <si>
    <t>Finanszírozási egyenleg</t>
  </si>
  <si>
    <t>EGYENLEG MINDÖSSZESEN</t>
  </si>
  <si>
    <t xml:space="preserve">Budapest Főváros I. Kerület Budavári Polgármesteri Hivatal </t>
  </si>
  <si>
    <t>Budapest I. kerület Budavári Önkormányzat Egészségügyi Szolgálata</t>
  </si>
  <si>
    <t>Budapest I. kerület Budavári Önkormányzat GAMESZ</t>
  </si>
  <si>
    <t>Brunszvik Teréz Budavári Óvodák</t>
  </si>
  <si>
    <t>Budavári Önkorm. Egyesített Bölcsődéje</t>
  </si>
  <si>
    <t>Budavári Szociális és Gyermekjóléti Szolgáltatási Központ</t>
  </si>
  <si>
    <t>Budavári Művelődési Ház</t>
  </si>
  <si>
    <t>Adóssághoz nem kapcsolódó származékos ügyletek bevételei előirányzata</t>
  </si>
  <si>
    <t>Belföldi finanszírozás bevételei</t>
  </si>
  <si>
    <t>B81</t>
  </si>
  <si>
    <t>Külföldi finanszírozás bevételei</t>
  </si>
  <si>
    <t>B82</t>
  </si>
  <si>
    <t>B83</t>
  </si>
  <si>
    <t>B84</t>
  </si>
  <si>
    <t>ebből: általános tartalék</t>
  </si>
  <si>
    <t>ebből: céltartalék</t>
  </si>
  <si>
    <t>K61</t>
  </si>
  <si>
    <t>K62</t>
  </si>
  <si>
    <t>K63</t>
  </si>
  <si>
    <t>K64</t>
  </si>
  <si>
    <t>K65</t>
  </si>
  <si>
    <t>K66</t>
  </si>
  <si>
    <t>K67</t>
  </si>
  <si>
    <t>K71</t>
  </si>
  <si>
    <t>K72</t>
  </si>
  <si>
    <t>K73</t>
  </si>
  <si>
    <t>K74</t>
  </si>
  <si>
    <t>ÖSSZESEN</t>
  </si>
  <si>
    <t>K91</t>
  </si>
  <si>
    <t>K92</t>
  </si>
  <si>
    <t>Adóssághoz nem kapcsolódó származékos ügyletek kiadásai</t>
  </si>
  <si>
    <t>K93</t>
  </si>
  <si>
    <t>Váltókiadások</t>
  </si>
  <si>
    <t>K94</t>
  </si>
  <si>
    <t>Budapest I. Kerület Budavári Önkormányzat</t>
  </si>
  <si>
    <t>Immateriális javak</t>
  </si>
  <si>
    <t>Ingatlanok</t>
  </si>
  <si>
    <t>Informatikai eszközök</t>
  </si>
  <si>
    <t>Egyéb tárgyi eszköz</t>
  </si>
  <si>
    <t>Részesedés</t>
  </si>
  <si>
    <t>Meglévő részesedés növelése</t>
  </si>
  <si>
    <t>ÁFA</t>
  </si>
  <si>
    <t>Egyéb tárgyi eszközök</t>
  </si>
  <si>
    <t>ÖNKORMÁNYZAT ÖSSZESEN</t>
  </si>
  <si>
    <t>BUDAPEST I. KERÜLET BUDAVÁRI ÖNKORMÁNYZAT</t>
  </si>
  <si>
    <t>BUDAPEST I. KERÜLET BUDAVÁRI ÖNKORMÁNYZAT EGYESÍTETT BÖLCSŐDE</t>
  </si>
  <si>
    <t>BUDAPEST I. KERÜLET BUDAVÁRI ÖNKORMÁNYZAT SZOCIÁLIS ÉS GYERMEKJÓLÉTI SZOLGÁLTATÁSI KÖZPONT</t>
  </si>
  <si>
    <t>BUDAPEST I. KERÜLET BUDAVÁRI ÖNKORMÁNYZAT GAZDASÁGI MŰSZAKI ELLÁTÓ ÉS SZOLGÁLTATÓ SZERVEZET</t>
  </si>
  <si>
    <t>BUDAPEST I. KERÜLET BUDAVÁRI ÖNKORMÁNYZAT
ÖNKORMÁNYZAT BEVÉTELEI ÉS KIADÁSAI</t>
  </si>
  <si>
    <t>BUDAPEST I. KERÜLET BUDAVÁRI ÖNKORMÁNYZAT
INTÉZMÉNYEK BEVÉTELEI ÉS KIADÁSAI</t>
  </si>
  <si>
    <t>Működési célú támogatások államháztartáson belülről</t>
  </si>
  <si>
    <t>Felhalmozási célú támogatások államháztartáson belülről</t>
  </si>
  <si>
    <t>ebből: maradvány igénybevétele</t>
  </si>
  <si>
    <t>ebből: belföldi értékpapírok bevételei</t>
  </si>
  <si>
    <t>Váltóbevételek</t>
  </si>
  <si>
    <t>BEVÉTELEK ÉS KIADÁSOK EGYENLEGE</t>
  </si>
  <si>
    <t>Munkaadót terhelő járulékok</t>
  </si>
  <si>
    <t>Belföldi finanszírozás kiadásai</t>
  </si>
  <si>
    <t>ebből: belföldi értékpapírok kiadásai</t>
  </si>
  <si>
    <t>ebből: központi, irányító szervi támogatások folyósítása</t>
  </si>
  <si>
    <t>Külföldi finanszírozás kiadásai</t>
  </si>
  <si>
    <t>BUDAPEST I. KERÜLET
BUDAVÁRI ÖNKORMÁNYZAT</t>
  </si>
  <si>
    <t>BUDAPEST FŐVÁROS I. KERÜLET
BUDAVÁRI POLGÁRMESTERI HIVATAL</t>
  </si>
  <si>
    <t>BUDAPEST I. KERÜLET BUDAVÁRI ÖNKORMÁNYZAT
EGÉSZSÉGÜGYI SZOLGÁLATA</t>
  </si>
  <si>
    <t>Céltartalékok összesen</t>
  </si>
  <si>
    <t>TARTALÉKOK ÖSSZESEN</t>
  </si>
  <si>
    <t>Kiemelt előirányzat</t>
  </si>
  <si>
    <t>B1-7</t>
  </si>
  <si>
    <t>K1-8</t>
  </si>
  <si>
    <t>Belső intézményi finanszírozás korrekciója</t>
  </si>
  <si>
    <t>Körzetes képviselői keret</t>
  </si>
  <si>
    <t>Részvételi költségvetés</t>
  </si>
  <si>
    <t>Egyéb év közben felmerülő programok általános tartaléka</t>
  </si>
  <si>
    <t>KONSZOLIDÁLT BEVÉTELEK</t>
  </si>
  <si>
    <t>KONSZOLIDÁLT KIADÁSOK</t>
  </si>
  <si>
    <t>Polgármesteri tartalék</t>
  </si>
  <si>
    <t>Előkészítési céltartalékok</t>
  </si>
  <si>
    <t>Beruházási céltartalékok</t>
  </si>
  <si>
    <t>Támogatási céltartalékok</t>
  </si>
  <si>
    <t>Társadalmasítási céltartalékok</t>
  </si>
  <si>
    <t>Intézményi céltartalékok</t>
  </si>
  <si>
    <t>Egyéb céltartalékok</t>
  </si>
  <si>
    <t>Alapítványi tartalék céltámogatási keret</t>
  </si>
  <si>
    <t>Zsinagóga projekt</t>
  </si>
  <si>
    <t>Mészáros utcai komplex buszpályaudvar kialakítása</t>
  </si>
  <si>
    <t>Feszty utcai hajléktalan-ellátó közterületi feladatainak támogatása</t>
  </si>
  <si>
    <t>Szentháromság tér tervezése</t>
  </si>
  <si>
    <t>Polgárőrség támogatás</t>
  </si>
  <si>
    <t>Rendőrség támogatása (Kamera figyelés + túlóra)</t>
  </si>
  <si>
    <t>Katasztrófavédelem támogatása</t>
  </si>
  <si>
    <t>Turisztikai vonzerő növelő országos kampány</t>
  </si>
  <si>
    <t>Üzemeltetési céltartalékok</t>
  </si>
  <si>
    <t>Finanszírozási bevételek (B8)</t>
  </si>
  <si>
    <t>Finanszírozási kiadások (K9)</t>
  </si>
  <si>
    <t>Hunyadi 9.</t>
  </si>
  <si>
    <t xml:space="preserve">Szarvas tér 1.  </t>
  </si>
  <si>
    <t>Tóth Árpád sétány 38.</t>
  </si>
  <si>
    <t>Lovas u. 32. (homlokzat, kerítés) II. ütem</t>
  </si>
  <si>
    <t xml:space="preserve">Lovas u. 32. I. ütem </t>
  </si>
  <si>
    <t>Kis értékű tárgyi eszközök (lista a szöveges indoklásban)</t>
  </si>
  <si>
    <t xml:space="preserve">Nyárs u. 2.-4. </t>
  </si>
  <si>
    <t xml:space="preserve">Iskola u. 44. </t>
  </si>
  <si>
    <t>Tigris u. 58-60</t>
  </si>
  <si>
    <t>Lovas u. 3.</t>
  </si>
  <si>
    <t>Áthúzódó</t>
  </si>
  <si>
    <t>Étellift felújítás</t>
  </si>
  <si>
    <t>Nagy értékű tárgyi eszközök</t>
  </si>
  <si>
    <t>Czakó utcai Sport- és Szabadidőközpont</t>
  </si>
  <si>
    <t>Tigris u. 45/a</t>
  </si>
  <si>
    <t>Családsegítő Szolgálat (Attila u. 89.)</t>
  </si>
  <si>
    <t>Gondozási Központ (Attila u. 8.)</t>
  </si>
  <si>
    <t>II. sz. Idősek Klubja (Roham u. 7.)</t>
  </si>
  <si>
    <t>Attila u. 8. felújítása</t>
  </si>
  <si>
    <t>Műbőr ülőgarnitúra I. idősek klubbjába</t>
  </si>
  <si>
    <t>Attila u. 63</t>
  </si>
  <si>
    <t xml:space="preserve">Csalogány u. </t>
  </si>
  <si>
    <t>Maros u.</t>
  </si>
  <si>
    <t>Gyerekfogászat klíma</t>
  </si>
  <si>
    <t>Zsolt u. klíma és hangszigelt ajtó</t>
  </si>
  <si>
    <t>Maros utcai rendelő</t>
  </si>
  <si>
    <t>Nőgyógyászat-urulógia</t>
  </si>
  <si>
    <t>Fül-orr-gége hőlégsterilizáló</t>
  </si>
  <si>
    <t>Fül-orr-gége tympanometer</t>
  </si>
  <si>
    <t>Sebészet - felxibilis rectoscop</t>
  </si>
  <si>
    <t>Szemészet- optikai kohenrencia tomográfiás  készülék</t>
  </si>
  <si>
    <t>Szemészet - betegvizsgáló szék</t>
  </si>
  <si>
    <t>EKG, Foglalkozás eü. - EKG</t>
  </si>
  <si>
    <t>EKG, Foglalkozás eü. - Gurulós kocsi</t>
  </si>
  <si>
    <t>EKG, Foglalkozás eü. - Légzésfunkciós készülék, mobil</t>
  </si>
  <si>
    <t>EKG, Foglalkozás eü. - Holter- ABPM egyben</t>
  </si>
  <si>
    <t>EKG, Foglalkozás eü. - Boka-kar indexmérő</t>
  </si>
  <si>
    <t>Neurológia - Cadwell Sierra Sumit 4 csatornás</t>
  </si>
  <si>
    <t>Reumatológia - Szekrénysor</t>
  </si>
  <si>
    <t>Reumatológia - vizsgálóágy állítható magasságú</t>
  </si>
  <si>
    <t>Reumatológia - Négyrekeszes galvánkád kezelőszékkel</t>
  </si>
  <si>
    <t>Ortopédia - számítógép</t>
  </si>
  <si>
    <t>Gyermekfogászat - fogászati autokláv</t>
  </si>
  <si>
    <t xml:space="preserve">Iskolaegészségügy - Szilágyi Erzsébet Gimnázium </t>
  </si>
  <si>
    <t>Iskolaegészségügy - Budavári Általános Iskola</t>
  </si>
  <si>
    <t>Szemészet - Öltöző szekrény</t>
  </si>
  <si>
    <t>Forrás integrált könyvelési szoftver bevezetése</t>
  </si>
  <si>
    <t>Országház u. 9. (iroda kialakítás)</t>
  </si>
  <si>
    <t>Pszichoedukáció</t>
  </si>
  <si>
    <t>Optikai kábel elhelyezése után maradt hibák kijavítása</t>
  </si>
  <si>
    <t>Kerületi kitüntetések és díjak reforformja</t>
  </si>
  <si>
    <t>Okosváros megoldások</t>
  </si>
  <si>
    <t>Járókelő.hu együttműködés</t>
  </si>
  <si>
    <t>Támogatás a Közbiztonsági Közalapítványnak a Hónap rendőre címhez</t>
  </si>
  <si>
    <t>Adventi vásár a Horváth-kertben</t>
  </si>
  <si>
    <t>Idősek napi program megrendezése vagy voucher</t>
  </si>
  <si>
    <t>Szemléletformáló utcai installációk a Horváth-kertbe</t>
  </si>
  <si>
    <t>Virág Benedek Ház kulturális programokhoz szükséges átalakítása</t>
  </si>
  <si>
    <t>Párakapu kialakítása</t>
  </si>
  <si>
    <t>Testvértelepülési programok költségei</t>
  </si>
  <si>
    <t>Gyermeknapi játszótéri programok</t>
  </si>
  <si>
    <t>Zöldfalak kialakítására támogatás (növénnyel befuttatás, vadszőlő)</t>
  </si>
  <si>
    <t>Kedvezményes növényvásárlási lehetőség a lakosság számára</t>
  </si>
  <si>
    <t xml:space="preserve">Kis értékű tárgyi eszközök </t>
  </si>
  <si>
    <t>Kis értékű tárgyi eszközök</t>
  </si>
  <si>
    <t>Kisértékű tárgyi eszközök</t>
  </si>
  <si>
    <t>Kis értékű tárgyi eszköz</t>
  </si>
  <si>
    <t>Kapuk cseréje, egy automatizálása</t>
  </si>
  <si>
    <t>Komposztáló telepítése</t>
  </si>
  <si>
    <t>Irodai páncélszekrény</t>
  </si>
  <si>
    <t>4 új számítógép, 200 000/db</t>
  </si>
  <si>
    <t>4 db radiátor burkolat csere</t>
  </si>
  <si>
    <t>Terasz burk.felújítása</t>
  </si>
  <si>
    <t>Emeleti korlátok magasítása</t>
  </si>
  <si>
    <t>Mindhárom csoportszobában lambéria csere</t>
  </si>
  <si>
    <t>Hátsó fsz.-i terasz burkolása (lejtés!)</t>
  </si>
  <si>
    <t>ipari mosógép</t>
  </si>
  <si>
    <t>laptop egységenként (összesen 5 db)</t>
  </si>
  <si>
    <t>ipari mosogatógép (Iskola u.)</t>
  </si>
  <si>
    <t>másológép - központba</t>
  </si>
  <si>
    <t>wifi komlex biztonsági rendszer kiépítés 3 telephely kapcsán</t>
  </si>
  <si>
    <t>Logopédia szoba vészkijárati ajtó csere</t>
  </si>
  <si>
    <t>Középső csop. Udvarán 2 j.eszköz cseréje burkolattal</t>
  </si>
  <si>
    <t>Felső csúszda körül gumitégla csere öntött burk.-ra</t>
  </si>
  <si>
    <t>Csoport szobákban lámpatestek cseréje LED-re</t>
  </si>
  <si>
    <t>Két terasz ajtó cseréje</t>
  </si>
  <si>
    <t>Felső szinti két tálaló konyha komlett felújítása</t>
  </si>
  <si>
    <t>Udvari kétszárnyú kapu csere</t>
  </si>
  <si>
    <t>játszótéri "torony" ütéscsillapító gumiszegélyezéssel, eszköz felülvizsgálattal</t>
  </si>
  <si>
    <t>játszótéri hinta, 2 állású, fém, ütéscsillapító gumiszegéllyel, felülvizsgálattal</t>
  </si>
  <si>
    <t>Irodabútor (vezetői és gazdasági iroda)</t>
  </si>
  <si>
    <t>Babaház (udvari)</t>
  </si>
  <si>
    <t>Lámpatestek cseréje LED panelre</t>
  </si>
  <si>
    <t>Bejáratnál leázott vakolat helyreállítása</t>
  </si>
  <si>
    <t>Fogadó helyiség oldalfal vakolása szellőző vakolattal</t>
  </si>
  <si>
    <t>ugyanitt a helyiség kifestése</t>
  </si>
  <si>
    <t>Homlokzati ajtók, ablakok festése</t>
  </si>
  <si>
    <t>Étkezőben oldalfal vakolat felújítása</t>
  </si>
  <si>
    <t>Irodai mosdó csere</t>
  </si>
  <si>
    <t>Többfunkciós kistraktor/téli-nyári eszközökkel/ (1db)</t>
  </si>
  <si>
    <t>Elektromos kisteherkocsi/Melex kutyaszemetesek ürítése/</t>
  </si>
  <si>
    <t>GN 3*1/1-es vízfürdős melegen tartó pult osztott medencés</t>
  </si>
  <si>
    <t>Stalgast 50 mosogatógép (4 db - Szilágyi Gimnázium, Toldy Gimnázium, Batthyány Általános Iskola, Lisznyai Általános Iskola tálalókonyha)</t>
  </si>
  <si>
    <t>Technodom 4*GN 1/1 légkeveréses sütő (2 db - Batthyány Általános Iskola, Szilágyi Gimnázium tálalókonyhái)</t>
  </si>
  <si>
    <t>Panda licence meghosszabbítása</t>
  </si>
  <si>
    <t>Eset licence meghosszabbítása</t>
  </si>
  <si>
    <t>Zamárdi Optikai bekötő légkábel és WiFi lefedőhálózat kiépítése</t>
  </si>
  <si>
    <t>Opel COMBO CARGO dobozos gépjármű</t>
  </si>
  <si>
    <t>Szallagfűrész</t>
  </si>
  <si>
    <t>drón</t>
  </si>
  <si>
    <t>Klíma kiépítés (5 db képviselői irodába)</t>
  </si>
  <si>
    <t>Lakásügynökség létrehozása</t>
  </si>
  <si>
    <t>Győző utcai telek vásárlása</t>
  </si>
  <si>
    <t>Kutyafuttatók felújítása Vízivárosban (Szabó Ilonka u.)</t>
  </si>
  <si>
    <t>Lakásvásárlás céltartalék előirányzata</t>
  </si>
  <si>
    <t>CZAKÓ UTCAI SPORT- ÉS SZABADIDŐKÖZPONT</t>
  </si>
  <si>
    <t>BRUNKSZVIK TERÉZ BUDAVÁRI ÓVODÁK</t>
  </si>
  <si>
    <t>Laptopok (7 db)</t>
  </si>
  <si>
    <t>Városháza felújítási költségek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</si>
  <si>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</si>
  <si>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</si>
  <si>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(03+04)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</si>
  <si>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</si>
  <si>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</si>
  <si>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</si>
  <si>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(=01+02+05+06+07+08) (B11)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</si>
  <si>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</si>
  <si>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</si>
  <si>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(=13+…+22) (B14)</t>
  </si>
  <si>
    <t>ebből: központi költségvetési szervek (B14)</t>
  </si>
  <si>
    <t>ebből: központi kezelésű előirányzatok (B14)</t>
  </si>
  <si>
    <t>ebből: fejezeti kezelésű előirányzatok EU-s programokra és azok hazai társfinanszírozása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</si>
  <si>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</si>
  <si>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</si>
  <si>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</si>
  <si>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</si>
  <si>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</si>
  <si>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</si>
  <si>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</si>
  <si>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Működési célú visszatérítendő támogatások, kölcsönök igénybevétele államháztartáson belülről (=24+…+33) (B15)</t>
  </si>
  <si>
    <t>ebből: központi költségvetési szervek (B15)</t>
  </si>
  <si>
    <t>ebből: központi kezelésű előirányzatok (B15)</t>
  </si>
  <si>
    <t>ebből: fejezeti kezelésű előirányzatok EU-s programokra és azok hazai társfinanszírozása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</si>
  <si>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</si>
  <si>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</si>
  <si>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</si>
  <si>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</si>
  <si>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</si>
  <si>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</si>
  <si>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</si>
  <si>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Egyéb működési célú támogatások bevételei államháztartáson belülről (=35+…+44) (B16)</t>
  </si>
  <si>
    <t>ebből: központi költségvetési szervek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</si>
  <si>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</si>
  <si>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</si>
  <si>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</si>
  <si>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</si>
  <si>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</si>
  <si>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</si>
  <si>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</si>
  <si>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</si>
  <si>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</si>
  <si>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Működési célú támogatások államháztartáson belülről (=09+...+12+23+34) (B1)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</si>
  <si>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</si>
  <si>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</si>
  <si>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(=49+…+58) (B23)</t>
  </si>
  <si>
    <t>ebből: központi költségvetési szervek (B23)</t>
  </si>
  <si>
    <t>ebből: központi kezelésű előirányzatok (B23)</t>
  </si>
  <si>
    <t>ebből: fejezeti kezelésű előirányzatok EU-s programokra és azok hazai társfinanszírozása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</si>
  <si>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</si>
  <si>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</si>
  <si>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</si>
  <si>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</si>
  <si>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</si>
  <si>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</si>
  <si>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</si>
  <si>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Felhalmozási célú visszatérítendő támogatások, kölcsönök igénybevétele államháztartáson belülről (=60+…+69) (B24)</t>
  </si>
  <si>
    <t>ebből: központi költségvetési szervek (B24)</t>
  </si>
  <si>
    <t>ebből: központi kezelésű előirányzatok (B24)</t>
  </si>
  <si>
    <t>ebből: fejezeti kezelésű előirányzatok EU-s programokra és azok hazai társfinanszírozása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</si>
  <si>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</si>
  <si>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</si>
  <si>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</si>
  <si>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</si>
  <si>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</si>
  <si>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</si>
  <si>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</si>
  <si>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Egyéb felhalmozási célú támogatások bevételei államháztartáson belülről (=71+…+80) (B25)</t>
  </si>
  <si>
    <t>ebből: központi költségvetési szervek (B25)</t>
  </si>
  <si>
    <t>ebből: központi kezelésű előirányzatok (B25)</t>
  </si>
  <si>
    <t>ebből: fejezeti kezelésű előirányzatok EU-s programokra és azok hazai társfinanszírozása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</si>
  <si>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</si>
  <si>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</si>
  <si>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</si>
  <si>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</si>
  <si>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</si>
  <si>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</si>
  <si>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</si>
  <si>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Felhalmozási célú támogatások államháztartáson belülről (=46+47+48+59+70) (B2)</t>
  </si>
  <si>
    <t>Magánszemélyek jövedelemadói (=83+84) (B311)</t>
  </si>
  <si>
    <t>ebből: személyi jövedelemadó (B311)</t>
  </si>
  <si>
    <t>ebből: termőföld bérbeadásából származó jövedelem utáni személyi jövedelemadó (B311)</t>
  </si>
  <si>
    <t>Társaságok jövedelemadói (=86+…+92) (B312)</t>
  </si>
  <si>
    <t>ebből: társasági adó (B312)</t>
  </si>
  <si>
    <t>ebből: társas vállalkozások különadója (B312)</t>
  </si>
  <si>
    <t>ebből: hiteintézeti járadék (B312)</t>
  </si>
  <si>
    <t>ebből: pénzügyi szervezetek különadója (B312)</t>
  </si>
  <si>
    <t>ebből: energiaellátók jövedelemadója (B312)</t>
  </si>
  <si>
    <t>ebből: kisvállalati adó (B312)</t>
  </si>
  <si>
    <t>ebből: kisadózó vállalkozások tételes adója (B312)</t>
  </si>
  <si>
    <t>Jövedelemadók (=82+85) (B31)</t>
  </si>
  <si>
    <t>Szociális hozzájárulási adó és járulékok (=95+…+103) (B32)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</si>
  <si>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</si>
  <si>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</si>
  <si>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</si>
  <si>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</si>
  <si>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</si>
  <si>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</si>
  <si>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</si>
  <si>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</si>
  <si>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</si>
  <si>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Bérhez és foglalkoztatáshoz kapcsolódó adók (=105+…+108) (B33)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</si>
  <si>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</si>
  <si>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</si>
  <si>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</si>
  <si>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</si>
  <si>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Vagyoni tipusú adók (=110+…+115) (B34)</t>
  </si>
  <si>
    <t>ebből: építményadó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</si>
  <si>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</si>
  <si>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</si>
  <si>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</si>
  <si>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</si>
  <si>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</si>
  <si>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Értékesítési és forgalmi adók (=117+…+136) (B351)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</si>
  <si>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</si>
  <si>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</si>
  <si>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</si>
  <si>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</si>
  <si>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</si>
  <si>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</si>
  <si>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állandó jelleggel végzett iparűzési tevékenység után fizetett helyi iparűzési adó (B351)</t>
  </si>
  <si>
    <t>ebből: ideiglenes jelleggel végzett tevékenység után fizetett helyi iparűzési adó (B351)</t>
  </si>
  <si>
    <t>ebből: innovációs járulék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</si>
  <si>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</si>
  <si>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</si>
  <si>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gyógyszergyártók 10 %-os befizetési kötelezettsége (2006.évi XCVIII. tv. 40/A. §. (1) bekezdése) (B351)</t>
  </si>
  <si>
    <t>ebből: gyógyszer és gyógyászati segédeszköz ismertetés utáni befizetések [2006. évi XCVIII. tv. 36. § (4) bek.] (B351)</t>
  </si>
  <si>
    <t>ebből:  gyógyszertámogatás többletének sávos kockázatviseléséből származó bevételek [2006. évi XCVIII. tv. 42. § ] (B351)</t>
  </si>
  <si>
    <t>ebből: népegészségügyi termékadó (B351)</t>
  </si>
  <si>
    <t>ebből: távközlési adó (B351)</t>
  </si>
  <si>
    <t>ebből: pénzügyi tranzakciós illeték (B351)</t>
  </si>
  <si>
    <t>ebből: biztosítási adó (B351)</t>
  </si>
  <si>
    <t>ebből: reklámadó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</si>
  <si>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</si>
  <si>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Fogyasztási adók  (=138+139+140) (B352)</t>
  </si>
  <si>
    <t>ebből: jövedéki adó (B352)</t>
  </si>
  <si>
    <t>ebből: regisztrációs adó (B352)</t>
  </si>
  <si>
    <t>ebből: turizmusfejlesztési hozzájárulás (B352)</t>
  </si>
  <si>
    <t>Pénzügyi monopóliumok nyereségét terhelő adók  (B353)</t>
  </si>
  <si>
    <t>Gépjárműadók (=143+…+146) (B354)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</si>
  <si>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</si>
  <si>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</si>
  <si>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</si>
  <si>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</si>
  <si>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Egyéb áruhasználati és szolgáltatási adók  (=148+…+163) (B355)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</si>
  <si>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</si>
  <si>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</si>
  <si>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</si>
  <si>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</si>
  <si>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</si>
  <si>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</si>
  <si>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</si>
  <si>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</si>
  <si>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</si>
  <si>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</si>
  <si>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</si>
  <si>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</si>
  <si>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</si>
  <si>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</si>
  <si>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</si>
  <si>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korábbi évek megszünt adónemei áthúzódó fizetéseiből befolyt bevételek (B355)</t>
  </si>
  <si>
    <t>Termékek és szolgáltatások adói (=116+137+141+142+147)  (B35)</t>
  </si>
  <si>
    <t>Egyéb közhatalmi bevételek (&gt;=166+…+183) (B36)</t>
  </si>
  <si>
    <t>ebből: cégnyílvántartás bevételei (B36)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</si>
  <si>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</si>
  <si>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</si>
  <si>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</si>
  <si>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</si>
  <si>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</si>
  <si>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</si>
  <si>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</si>
  <si>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</si>
  <si>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</si>
  <si>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</si>
  <si>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</si>
  <si>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ebből: vagyoni típusú települési adók (B36)</t>
  </si>
  <si>
    <t>ebből: jövedelmi típusú települési adók (B36)</t>
  </si>
  <si>
    <t>ebből: egyéb települési adók (B36)</t>
  </si>
  <si>
    <t>ebből: önkormányzat által beszedett talajterhelési díj (B36)</t>
  </si>
  <si>
    <t>ebből: előrehozott helyi adó (B36)</t>
  </si>
  <si>
    <t>ebből: bevándorlási különadó (B36)</t>
  </si>
  <si>
    <t>Közhatalmi bevételek  (=93+94+104+109+164+165) (B3)</t>
  </si>
  <si>
    <t>Készletértékesítés ellenértéke (B401)</t>
  </si>
  <si>
    <t>Szolgáltatások ellenértéke (&gt;=187+188) (B402)</t>
  </si>
  <si>
    <t>ebből:tárgyi eszközök bérbeadásából származó bevétel (B402)</t>
  </si>
  <si>
    <t>ebből: utak használata ellenében beszedett használati díj, pótdíj, elektronikus útdíj (B402)</t>
  </si>
  <si>
    <t>Közvetített szolgáltatások ellenértéke  (&gt;=190) (B403)</t>
  </si>
  <si>
    <t>ebből: államháztartáson belül (B403)</t>
  </si>
  <si>
    <t>Tulajdonosi bevételek (&gt;=192+…+197) (B404)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</si>
  <si>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</si>
  <si>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</si>
  <si>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</si>
  <si>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</si>
  <si>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 önkormányzati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</si>
  <si>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</si>
  <si>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</si>
  <si>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</si>
  <si>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</si>
  <si>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Befektetett pénzügyi eszközökből származó bevételek (&gt;=202+203) (B4081)</t>
  </si>
  <si>
    <t>ebből: államháztartáson belül (B4081)</t>
  </si>
  <si>
    <t>ebből: hitelviszonyt megtestesítő értékpapírok értékesítési nyeresége (B4081)</t>
  </si>
  <si>
    <t>Egyéb kapott (járó) kamatok és kamatjellegű bevételek (&gt;=205+206) (B4082)</t>
  </si>
  <si>
    <t>ebből: államháztartáson belül (B4082)</t>
  </si>
  <si>
    <t>ebből: fedezeti ügyletek kamatbevételei (B4082)</t>
  </si>
  <si>
    <t>Kamatbevételek és más nyereségjellegű bevételek (=201+204) (B408)</t>
  </si>
  <si>
    <t>Részesedésekből származó pénzügyi műveletek bevételei (B4091)</t>
  </si>
  <si>
    <t>Más egyéb pénzügyi műveletek bevételei (&gt;=210+...214) (B4092)</t>
  </si>
  <si>
    <t>ebből: részesedések értékesítéséhez kapcsolódó realizált nyereség (B4092)</t>
  </si>
  <si>
    <t>ebből: hitelviszonyt megtestesítő értékpapírok értékesítési nyeresége (B4092)</t>
  </si>
  <si>
    <t>ebből: befektetési jegyek bevételei (B4092)</t>
  </si>
  <si>
    <t>ebből: hitelviszonyt megtestesítő értékpapírok kibocsátási nyeresége (B4092)</t>
  </si>
  <si>
    <t>ebből: valuta és deviza eszközök realizált árfolyamnyeresége (B4092)</t>
  </si>
  <si>
    <t>Egyéb pénzügyi műveletek bevételei (=208+209) (B409)</t>
  </si>
  <si>
    <t>Biztosító által fizetett kártérítés (B410)</t>
  </si>
  <si>
    <t>Egyéb működési bevételek (&gt;=218+219) (B411)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</si>
  <si>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</si>
  <si>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kiadások visszatérítései (B411)</t>
  </si>
  <si>
    <t>Működési bevételek (=185+186+189+191+198+…+200+207+215+216+217) (B4)</t>
  </si>
  <si>
    <t>Immateriális javak értékesítése (&gt;=222) (B51)</t>
  </si>
  <si>
    <t>ebből: kiotói egységek és kibocsátási egységek eladásából befolyt eladási ár (B51)</t>
  </si>
  <si>
    <t>Ingatlanok értékesítése (&gt;=224) (B52)</t>
  </si>
  <si>
    <t>ebből: termőföld-eladás bevételei (B52)</t>
  </si>
  <si>
    <t>Egyéb tárgyi eszközök értékesítése (B53)</t>
  </si>
  <si>
    <t>Részesedések értékesítése (&gt;=227) (B54)</t>
  </si>
  <si>
    <t>ebből: privatizációból származó bevétel (B54)</t>
  </si>
  <si>
    <t>Részesedések megszűnéséhez kapcsolódó bevételek (B55)</t>
  </si>
  <si>
    <t>Felhalmozási bevételek (=221+223+225+226+228) (B5)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</si>
  <si>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</si>
  <si>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</si>
  <si>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</si>
  <si>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Működési célú visszatérítendő támogatások, kölcsönök visszatérülése államháztartáson kívülről (=234+…+242) (B64)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</si>
  <si>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</si>
  <si>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</si>
  <si>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</si>
  <si>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</si>
  <si>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</si>
  <si>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</si>
  <si>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ebből:önkormányzati többségi tulajdonú nem pénzügyi vállalkozások (B64)</t>
  </si>
  <si>
    <t>ebből: egyéb vállalkozások (B64)</t>
  </si>
  <si>
    <t>ebből: külföldi szervezetek, személyek (B64)</t>
  </si>
  <si>
    <t>Egyéb működési célú átvett pénzeszközök (=244+…+254) (B65)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</si>
  <si>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</si>
  <si>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</si>
  <si>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</si>
  <si>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</si>
  <si>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</si>
  <si>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</si>
  <si>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ebből:önkormányzati többségi tulajdonú nem pénzügyi vállalkozások (B65)</t>
  </si>
  <si>
    <t>ebből: egyéb vállalkozások (B65)</t>
  </si>
  <si>
    <t>ebből: Európai Unió  (B65)</t>
  </si>
  <si>
    <t>ebből: kormányok és nemzetközi szervezetek (B65)</t>
  </si>
  <si>
    <t>ebből: egyéb külföldiek (B65)</t>
  </si>
  <si>
    <t>Működési célú átvett pénzeszközök (=230+...+233+243) (B6)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</si>
  <si>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</si>
  <si>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</si>
  <si>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</si>
  <si>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Felhalmozási célú visszatérítendő támogatások, kölcsönök visszatérülése államháztartáson kívülről (=260+…+268) (B74)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</si>
  <si>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</si>
  <si>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</si>
  <si>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</si>
  <si>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</si>
  <si>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</si>
  <si>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</si>
  <si>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ebből:önkormányzati többségi tulajdonú nem pénzügyi vállalkozások (B74)</t>
  </si>
  <si>
    <t>ebből: egyéb vállalkozások (B74)</t>
  </si>
  <si>
    <t>ebből: külföldi szervezetek, személyek (B74)</t>
  </si>
  <si>
    <t>Egyéb felhalmozási célú átvett pénzeszközök (=270+…+280) (B75)</t>
  </si>
  <si>
    <t>ebből: egyházi jogi személyek (B75)</t>
  </si>
  <si>
    <t>ebből: nonprofit gazdasági társaságok (B75)</t>
  </si>
  <si>
    <t>ebből: egyéb civil szervezetek (B75)</t>
  </si>
  <si>
    <t>ebből: háztartások (B75)</t>
  </si>
  <si>
    <t>ebből: pénzügyi vállalkozások (B75)</t>
  </si>
  <si>
    <t>ebből: állami többségi tulajdonú nem pénzügyi vállalkozások (B75)</t>
  </si>
  <si>
    <t>ebből:önkormányzati többségi tulajdonú nem pénzügyi vállalkozások (B75)</t>
  </si>
  <si>
    <t>ebből: egyéb vállalkozások (B75)</t>
  </si>
  <si>
    <t>ebből: Európai Unió  (B75)</t>
  </si>
  <si>
    <t>ebből: kormányok és nemzetközi szervezetek (B75)</t>
  </si>
  <si>
    <t>ebből: egyéb külföldiek (B75)</t>
  </si>
  <si>
    <t>Felhalmozási célú átvett pénzeszközök (=256+…+259+269) (B7)</t>
  </si>
  <si>
    <t>Költségvetési bevételek (=45+81+184+220+229+255+281) (B1-B7)</t>
  </si>
  <si>
    <t>Hosszú lejáratú hitelek, kölcsönök 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</si>
  <si>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</si>
  <si>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</si>
  <si>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</si>
  <si>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</si>
  <si>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</si>
  <si>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</si>
  <si>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</si>
  <si>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</si>
  <si>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</si>
  <si>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</si>
  <si>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</si>
  <si>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</si>
  <si>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</si>
  <si>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</si>
  <si>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</si>
  <si>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</si>
  <si>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</si>
  <si>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</si>
  <si>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</si>
  <si>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</si>
  <si>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</si>
  <si>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(=04+11+14+…+19+22) (B81)</t>
  </si>
  <si>
    <t>Forgatási célú külföldi értékpapírok beváltása, 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</si>
  <si>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</si>
  <si>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</si>
  <si>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</si>
  <si>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</si>
  <si>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(=24+…+28) (B82)</t>
  </si>
  <si>
    <t>Adóssághoz nem kapcsolódó származékos ügyletek bevételei (B83)</t>
  </si>
  <si>
    <t>Váltóbevételek (B84)</t>
  </si>
  <si>
    <t>Finanszírozási bevételek (=23+29+30+31) (B8)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</si>
  <si>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</si>
  <si>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</si>
  <si>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</si>
  <si>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</si>
  <si>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</si>
  <si>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</si>
  <si>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</si>
  <si>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</si>
  <si>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</si>
  <si>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</si>
  <si>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</si>
  <si>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</si>
  <si>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(&gt;=14) (K1113)</t>
  </si>
  <si>
    <t>ebből:biztosítási díjak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</si>
  <si>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</si>
  <si>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</si>
  <si>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</si>
  <si>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</si>
  <si>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</si>
  <si>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Személyi juttatások (=15+19) (K1)</t>
  </si>
  <si>
    <t>Munkaadókat terhelő járulékok és szociális hozzájárulási adó (=22+…+27) (K2)</t>
  </si>
  <si>
    <t>ebből: szociális hozzájárulási adó (K2)</t>
  </si>
  <si>
    <t>ebből: rehabilitációs hozzájárulás (K2)</t>
  </si>
  <si>
    <t>ebből: egészségügyi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</si>
  <si>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</si>
  <si>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</si>
  <si>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</si>
  <si>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Szakmai anyagok beszerzése (K311)</t>
  </si>
  <si>
    <t>Üzemeltetési anyagok beszerzése (K312)</t>
  </si>
  <si>
    <t>Árubeszerzés (K313)</t>
  </si>
  <si>
    <t>Készletbeszerzés (=28+29+30) (K31)</t>
  </si>
  <si>
    <t>Informatikai szolgáltatások igénybevétele (K321)</t>
  </si>
  <si>
    <t>Egyéb kommunikációs szolgáltatások (K322)</t>
  </si>
  <si>
    <t>Kommunikációs szolgáltatások (=32+33) (K32)</t>
  </si>
  <si>
    <t>Közüzemi díjak (K331)</t>
  </si>
  <si>
    <t>Vásárolt élelmezés (K332)</t>
  </si>
  <si>
    <t>Bérleti és lízing díjak (&gt;=38) (K333)</t>
  </si>
  <si>
    <t>Karbantartási, kisjavítási szolgáltatások (K334)</t>
  </si>
  <si>
    <t>Közvetített szolgáltatások  (&gt;=41) (K335)</t>
  </si>
  <si>
    <t>ebből: államháztartáson belül (K335)</t>
  </si>
  <si>
    <t>Szakmai tevékenységet segítő szolgáltatások  (K336)</t>
  </si>
  <si>
    <t>Egyéb szolgáltatások (&gt;=44) (K337)</t>
  </si>
  <si>
    <t>ebből: biztosítási díjak (K337)</t>
  </si>
  <si>
    <t>Szolgáltatási kiadások (=35+36+37+39+40+42+43) (K33)</t>
  </si>
  <si>
    <t>Kiküldetések kiadásai (K341)</t>
  </si>
  <si>
    <t>Reklám- és propagandakiadások (K342)</t>
  </si>
  <si>
    <t>Kiküldetések, reklám- és propagandakiadások (=46+47) (K34)</t>
  </si>
  <si>
    <t>Működési célú előzetesen felszámított általános forgalmi adó (K351)</t>
  </si>
  <si>
    <t>Fizetendő általános forgalmi adó  (K352)</t>
  </si>
  <si>
    <t>Kamatkiadások (&gt;=52+53) (K353)</t>
  </si>
  <si>
    <t>ebből: államháztartáson belül (K353)</t>
  </si>
  <si>
    <t>ebből: fedezeti ügyletek kamatkiadásai (K353)</t>
  </si>
  <si>
    <t>Egyéb pénzügyi műveletek kiadásai (&gt;=55+…+57) (K354)</t>
  </si>
  <si>
    <t>ebből: valuta, deviza eszközök realizált árfolyamvesztesége (K354)</t>
  </si>
  <si>
    <t>ebből: hitelviszonyt megtestesítő értékpapírok árfolyamkülönbözete (K354)</t>
  </si>
  <si>
    <t>ebből: deviza kötelezettségek realizált árfolyamvesztesége (K354)</t>
  </si>
  <si>
    <t>Egyéb dologi kiadások (K355)</t>
  </si>
  <si>
    <t>Különféle befizetések és egyéb dologi kiadások (=49+50+51+54+58) (K35)</t>
  </si>
  <si>
    <t>Dologi kiadások (=31+34+45+48+59) (K3)</t>
  </si>
  <si>
    <t>Társadalombiztosítási ellátások (K41)</t>
  </si>
  <si>
    <t>Családi támogatások (=63+…+72) (K42)</t>
  </si>
  <si>
    <t>ebből: családi pótlék (K42)</t>
  </si>
  <si>
    <t>ebből: anyasági támogatás (K42)</t>
  </si>
  <si>
    <t>ebből: gyermekgondozást segítő ellátás (K42)</t>
  </si>
  <si>
    <t>ebből: gyermeknevelési támogatás (K42)</t>
  </si>
  <si>
    <t>ebből: gyermekek születésével kapcsolatos szabadság megtérítése (K42)</t>
  </si>
  <si>
    <t>ebből: életkezdési támogatás (K42)</t>
  </si>
  <si>
    <t>ebből: otthonteremtési támogatás (K42)</t>
  </si>
  <si>
    <t>ebből: gyermektartásdíj megelőlegezése (K42)</t>
  </si>
  <si>
    <t>ebből: GYES-en és GYED-en lévők hallgatói hitelének célzott támogatása (K42)</t>
  </si>
  <si>
    <t>ebből: az egyéb pénzbeli és természetbeni gyermekvédelmi támogatások  (K42)</t>
  </si>
  <si>
    <t>Pénzbeli kárpótlások, kártérítések (K43)</t>
  </si>
  <si>
    <t>Betegséggel kapcsolatos (nem társadalombiztosítási) ellátások (=75+…+84) (K44)</t>
  </si>
  <si>
    <t>ebből: ápolási díj (K44)</t>
  </si>
  <si>
    <t>ebből: fogyatékossági támogatás és vakok személyi járadéka (K44)</t>
  </si>
  <si>
    <t>ebből: kivételes rokkantsági ellátás (K44)</t>
  </si>
  <si>
    <t>ebből: mozgáskorlátozottak szerzési és átalakítási támogatása (K44)</t>
  </si>
  <si>
    <t>ebből: megváltozott munkaképességűek illetve egészségkárosodottak kereset-kiegészítése (K44)</t>
  </si>
  <si>
    <t>ebből: közgyógyellátás [Szoctv.50.§ (1)-(2) bekezdése] (K44)</t>
  </si>
  <si>
    <t>ebből: cukorbetegek támogatása (K44)</t>
  </si>
  <si>
    <t>ebből: tartós ápolást végzők időskori támogatása [Szoctv. 44/A. §] (K44)</t>
  </si>
  <si>
    <t>ebből: egészségügyi szolgáltatási jogosultságra való jogosultság szociális rászorultság alapján [Szoctv. 54. §-a] ( K44)</t>
  </si>
  <si>
    <t>ebből: gyermekek otthongondozási díja  [Szoctv. 38. §] (K44)</t>
  </si>
  <si>
    <t>Foglalkoztatással, munkanélküliséggel kapcsolatos ellátások (=86+…+93) (K45)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</si>
  <si>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</si>
  <si>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ebből: korhatár előtti ellátás és a fegyveres testületek volt tagjai szolgálati járandósága (K45)</t>
  </si>
  <si>
    <t>ebből: átmeneti bányászjáradék (K45)</t>
  </si>
  <si>
    <t>ebből: szénjárandóság pénzbeli megváltása (K45)</t>
  </si>
  <si>
    <t>ebből: mecseki bányászatban munkát végzők bányászati kereset-kiegészítése (K45)</t>
  </si>
  <si>
    <t>ebből: mezőgazdasági járadék (K45)</t>
  </si>
  <si>
    <t>ebből: foglalkoztatást helyettesítő támogatás [Szoctv. 35. § (1) bek.] (K45)</t>
  </si>
  <si>
    <t>ebből: polgármesterek korhatár előtti ellátása  (K45)</t>
  </si>
  <si>
    <t>Lakhatással kapcsolatos ellátások (=95+96) (K46)</t>
  </si>
  <si>
    <t>ebből: hozzájárulás a lakossági energiaköltségekhez (K46)</t>
  </si>
  <si>
    <t>ebből: lakbértámogatás (K46)</t>
  </si>
  <si>
    <t>Intézményi ellátottak pénzbeli juttatásai (&gt;=98+99) (K47)</t>
  </si>
  <si>
    <t>ebből: állami gondozottak pénzbeli juttatásai (K47)</t>
  </si>
  <si>
    <t>ebből: oktatásban résztvevők pénzbeli juttatásai (K47)</t>
  </si>
  <si>
    <t>Egyéb nem intézményi ellátások (&gt;=101+…+119) (K48)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</si>
  <si>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</si>
  <si>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</si>
  <si>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</si>
  <si>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 nemzeti gondozotti ellátások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</si>
  <si>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</si>
  <si>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</si>
  <si>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</si>
  <si>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 Nemzet Színésze címet viselő színészek havi életjáradéka, művészeti nyugdíjsegélyek, művészjáradék,táncművészeti életjáradék, tudományos alkotói járadék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</si>
  <si>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</si>
  <si>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</si>
  <si>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</si>
  <si>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idegenrendészeti szerv által folyósított ellátások (K48)</t>
  </si>
  <si>
    <t>ebből: szépkorúak jubileumi juttatása (K48)</t>
  </si>
  <si>
    <t>ebből: időskorúak járadéka [Szoctv. 32/B. § (1) bekezdése]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</si>
  <si>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</si>
  <si>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</si>
  <si>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</si>
  <si>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egészségkárosodási és gyermekfelügyeleti támogatás [Szoctv. 37.§ (1) bekezdés a) és b) pontja] (K48)</t>
  </si>
  <si>
    <t>ebből: önkormányzat által saját hatáskörben (nem szociális és gyermekvédelmi előírások alapján) adott más ellátás (K48)</t>
  </si>
  <si>
    <t>Ellátottak pénzbeli juttatásai (=61+62+73+74+85+94+97+100) (K4)</t>
  </si>
  <si>
    <t>Nemzetközi kötelezettségek (&gt;=122) (K501)</t>
  </si>
  <si>
    <t>ebből: Európai Unió (K501)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</si>
  <si>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</si>
  <si>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</si>
  <si>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</si>
  <si>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Elvonások és befizetések (=123+124+125) (K502)</t>
  </si>
  <si>
    <t>Működési célú garancia- és kezességvállalásból származó kifizetés államháztartáson belülre (K503)</t>
  </si>
  <si>
    <t>Működési célú visszatérítendő támogatások, kölcsönök nyújtása államháztartáson belülre (=129+…+138) (K504)</t>
  </si>
  <si>
    <t>ebből: központi költségvetési szervek (K504)</t>
  </si>
  <si>
    <t>ebből: központi kezelésű előirányzatok (K504)</t>
  </si>
  <si>
    <t>ebből: fejezeti kezelésű előirányzatok EU-s programokra és azok hazai társfinanszírozása (K504)</t>
  </si>
  <si>
    <t>ebből: egyéb fejezeti kezelésű előirányzatok (K504)</t>
  </si>
  <si>
    <t>ebből: társadalombiztosítás pénzügyi alapjai (K504)</t>
  </si>
  <si>
    <t>ebből: elkülönített állami pénzalapok (K504)</t>
  </si>
  <si>
    <t>ebből: helyi önkormányzatok és költségvetési szerveik (K504)</t>
  </si>
  <si>
    <t>ebből: társulások és költségvetési szerveik (K504)</t>
  </si>
  <si>
    <t>ebből: nemzetiségi önkormányzatok és költségvetési szerveik (K504)</t>
  </si>
  <si>
    <t>ebből: térségi fejlesztési tanácsok és költségvetési szerveik (K504)</t>
  </si>
  <si>
    <t>Működési célú visszatérítendő támogatások, kölcsönök törlesztése államháztartáson belülre (=140+…+149) (K505)</t>
  </si>
  <si>
    <t>ebből: központi költségvetési szervek (K505)</t>
  </si>
  <si>
    <t>ebből: központi kezelésű előirányzatok (K505)</t>
  </si>
  <si>
    <t>ebből: fejezeti kezelésű előirányzatok EU-s programokra és azok hazai társfinanszírozása (K505)</t>
  </si>
  <si>
    <t>ebből: egyéb fejezeti kezelésű előirányzatok (K505)</t>
  </si>
  <si>
    <t>ebből: társadalombiztosítás pénzügyi alapjai (K505)</t>
  </si>
  <si>
    <t>ebből: elkülönített állami pénzalapok (K505)</t>
  </si>
  <si>
    <t>ebből: helyi önkormányzatok és költségvetési szerveik (K505)</t>
  </si>
  <si>
    <t>ebből: társulások és költségvetési szerveik (K505)</t>
  </si>
  <si>
    <t>ebből: nemzetiségi önkormányzatok és költségvetési szerveik (K505)</t>
  </si>
  <si>
    <t>ebből: térségi fejlesztési tanácsok és költségvetési szerveik (K505)</t>
  </si>
  <si>
    <t>Egyéb működési célú támogatások államháztartáson belülre (=151+…+160) (K506)</t>
  </si>
  <si>
    <t>ebből: központi költségvetési szervek (K506)</t>
  </si>
  <si>
    <t>ebből: központi kezelésű előirányzatok (K506)</t>
  </si>
  <si>
    <t>ebből: fejezeti kezelésű előirányzatok EU-s programokra és azok hazai társfinanszírozása (K506)</t>
  </si>
  <si>
    <t>ebből: egyéb fejezeti kezelésű előirányzatok (K506)</t>
  </si>
  <si>
    <t>ebből: társadalombiztosítás pénzügyi alapjai (K506)</t>
  </si>
  <si>
    <t>ebből: elkülönített állami pénzalapok (K506)</t>
  </si>
  <si>
    <t>ebből: helyi önkormányzatok és költségvetési szerveik (K506)</t>
  </si>
  <si>
    <t>ebből: társulások és költségvetési szerveik (K506)</t>
  </si>
  <si>
    <t>ebből: nemzetiségi önkormányzatok és költségvetési szerveik (K506)</t>
  </si>
  <si>
    <t>ebből: térségi fejlesztési tanácsok és költségvetési szerveik (K506)</t>
  </si>
  <si>
    <t>Működési célú garancia- és kezességvállalásból származó kifizetés államháztartáson kívülre (&gt;=162) (K507)</t>
  </si>
  <si>
    <t>ebből: állami vagy önkormányzati tulajdonban lévő gazdasági társaságok tartozásai miatti kifizetések (K507)</t>
  </si>
  <si>
    <t>Működési célú visszatérítendő támogatások, kölcsönök nyújtása államháztartáson kívülre (=164+…+174) (K508)</t>
  </si>
  <si>
    <t>ebből: egyházi jogi személyek (K508)</t>
  </si>
  <si>
    <t>ebből: nonprofit gazdasági társaságok (K508)</t>
  </si>
  <si>
    <t>ebből: egyéb civil szervezetek (K508)</t>
  </si>
  <si>
    <t>ebből: háztartások (K508)</t>
  </si>
  <si>
    <t>ebből: pénzügyi vállalkozások (K508)</t>
  </si>
  <si>
    <t>ebből: állami többségi tulajdonú nem pénzügyi vállalkozások (K508)</t>
  </si>
  <si>
    <t>ebből: önkormányzati többségi tulajdonú nem pénzügyi vállalkozások (K508)</t>
  </si>
  <si>
    <t>ebből: egyéb vállalkozások (K508)</t>
  </si>
  <si>
    <t>ebből: Európai Unió  (K508)</t>
  </si>
  <si>
    <t>ebből: kormányok és nemzetközi szervezetek (K508)</t>
  </si>
  <si>
    <t>ebből: egyéb külföldiek (K508)</t>
  </si>
  <si>
    <t>Árkiegészítések, ártámogatások (K509)</t>
  </si>
  <si>
    <t>Kamattámogatások (K510)</t>
  </si>
  <si>
    <t>Működési célú támogatások az Európai Uniónak (K511)</t>
  </si>
  <si>
    <t>Egyéb működési célú támogatások államháztartáson kívülre (=179+…+188) (K512)</t>
  </si>
  <si>
    <t>ebből: egyházi jogi személyek (K512)</t>
  </si>
  <si>
    <t>ebből: nonprofit gazdasági társaságok (K512)</t>
  </si>
  <si>
    <t>ebből: egyéb civil szervezetek (K512)</t>
  </si>
  <si>
    <t>ebből: háztartások (K512)</t>
  </si>
  <si>
    <t>ebből: pénzügyi vállalkozások (K512)</t>
  </si>
  <si>
    <t>ebből: állami többségi tulajdonú nem pénzügyi vállalkozások (K512)</t>
  </si>
  <si>
    <t>ebből: önkormányzati többségi tulajdonú nem pénzügyi vállalkozások (K512)</t>
  </si>
  <si>
    <t>ebből: egyéb vállalkozások (K512)</t>
  </si>
  <si>
    <t>ebből: kormányok és nemzetközi szervezetek (K512)</t>
  </si>
  <si>
    <t>ebből: egyéb külföldiek (K512)</t>
  </si>
  <si>
    <t>Tartalékok (K513)</t>
  </si>
  <si>
    <t>Egyéb működési célú kiadások (=121+126+127+128+139+150+161+163+175+176+177+178+189) (K5)</t>
  </si>
  <si>
    <t>Immateriális javak beszerzése, létesítése (K61)</t>
  </si>
  <si>
    <t>Ingatlanok beszerzése, létesítése (&gt;=193) (K62)</t>
  </si>
  <si>
    <t>ebből: termőföld-vásárlás kiadásai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</si>
  <si>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</si>
  <si>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</si>
  <si>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</si>
  <si>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</si>
  <si>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</si>
  <si>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Beruházások (=191+192+194+…+198) (K6)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</si>
  <si>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</si>
  <si>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</si>
  <si>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</si>
  <si>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</si>
  <si>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Felújítások (=200+...+203) (K7)</t>
  </si>
  <si>
    <t>Felhalmozási célú garancia- és kezességvállalásból származó kifizetés államháztartáson belülre (K81)</t>
  </si>
  <si>
    <t>Felhalmozási célú visszatérítendő támogatások, kölcsönök nyújtása államháztartáson belülre (=207+…+216) (K82)</t>
  </si>
  <si>
    <t>ebből: központi költségvetési szervek (K82)</t>
  </si>
  <si>
    <t>ebből: központi kezelésű előirányzatok (K82)</t>
  </si>
  <si>
    <t>ebből: fejezeti kezelésű előirányzatok EU-s programokra és azok hazai társfinanszírozása (K82)</t>
  </si>
  <si>
    <t>ebből: egyéb fejezeti kezelésű előirányzatok (K82)</t>
  </si>
  <si>
    <t>ebből: társadalombiztosítás pénzügyi alapjai (K82)</t>
  </si>
  <si>
    <t>ebből: elkülönített állami pénzalapok (K82)</t>
  </si>
  <si>
    <t>ebből: helyi önkormányzatok és költségvetési szerveik (K82)</t>
  </si>
  <si>
    <t>ebből: társulások és költségvetési szerveik (K82)</t>
  </si>
  <si>
    <t>ebből: nemzetiségi önkormányzatok és költségvetési szerveik (K82)</t>
  </si>
  <si>
    <t>ebből: térségi fejlesztési tanácsok és költségvetési szerveik (K82)</t>
  </si>
  <si>
    <t>Felhalmozási célú visszatérítendő támogatások, kölcsönök törlesztése államháztartáson belülre (=218+…+227) (K83)</t>
  </si>
  <si>
    <t>ebből: központi költségvetési szervek (K83)</t>
  </si>
  <si>
    <t>ebből: központi kezelésű előirányzatok (K83)</t>
  </si>
  <si>
    <t>ebből: fejezeti kezelésű előirányzatok EU-s programokra és azok hazai társfinanszírozása (K83)</t>
  </si>
  <si>
    <t>ebből: egyéb fejezeti kezelésű előirányzatok (K83)</t>
  </si>
  <si>
    <t>ebből: társadalombiztosítás pénzügyi alapjai (K83)</t>
  </si>
  <si>
    <t>ebből: elkülönített állami pénzalapok (K83)</t>
  </si>
  <si>
    <t>ebből: helyi önkormányzatok és költségvetési szerveik (K83)</t>
  </si>
  <si>
    <t>ebből: társulások és költségvetési szerveik (K83)</t>
  </si>
  <si>
    <t>ebből: nemzetiségi önkormányzatok és költségvetési szerveik (K83)</t>
  </si>
  <si>
    <t>ebből: térségi fejlesztési tanácsok és költségvetési szerveik (K83)</t>
  </si>
  <si>
    <t>Egyéb felhalmozási célú támogatások államháztartáson belülre (=229+…+238) (K84)</t>
  </si>
  <si>
    <t>ebből: központi költségvetési szervek (K84)</t>
  </si>
  <si>
    <t>ebből: központi kezelésű előirányzatok (K84)</t>
  </si>
  <si>
    <t>ebből: fejezeti kezelésű előirányzatok EU-s programokra és azok hazai társfinanszírozása (K84)</t>
  </si>
  <si>
    <t>ebből: egyéb fejezeti kezelésű előirányzatok (K84)</t>
  </si>
  <si>
    <t>ebből: társadalombiztosítás pénzügyi alapjai (K84)</t>
  </si>
  <si>
    <t>ebből: elkülönített állami pénzalapok (K84)</t>
  </si>
  <si>
    <t>ebből: helyi önkormányzatok és költségvetési szerveik (K84)</t>
  </si>
  <si>
    <t>ebből: társulások és költségvetési szerveik (K84)</t>
  </si>
  <si>
    <t>ebből: nemzetiségi önkormányzatok és költségvetési szerveik (K84)</t>
  </si>
  <si>
    <t>ebből: térségi fejlesztési tanácsok és költségvetési szerveik (K84)</t>
  </si>
  <si>
    <t>Felhalmozási célú garancia- és kezességvállalásból származó kifizetés államháztartáson kívülre (&gt;=240) (K85)</t>
  </si>
  <si>
    <t>ebből: állami vagy önkormányzati tulajdonban lévő gazdasági társaságok tartozásai miatti kifizetések (K85)</t>
  </si>
  <si>
    <t>Felhalmozási célú visszatérítendő támogatások, kölcsönök nyújtása államháztartáson kívülre (=242+…+252) (K86)</t>
  </si>
  <si>
    <t>ebből: egyházi jogi személyek (K86)</t>
  </si>
  <si>
    <t>ebből: nonprofit gazdasági társaságok (K86)</t>
  </si>
  <si>
    <t>ebből: egyéb civil szervezetek (K86)</t>
  </si>
  <si>
    <t>ebből: háztartások (K86)</t>
  </si>
  <si>
    <t>ebből: pénzügyi vállalkozások (K86)</t>
  </si>
  <si>
    <t>ebből: állami többségi tulajdonú nem pénzügyi vállalkozások (K86)</t>
  </si>
  <si>
    <t>ebből: önkormányzati többségi tulajdonú nem pénzügyi vállalkozások (K86)</t>
  </si>
  <si>
    <t>ebből: egyéb vállalkozások (K86)</t>
  </si>
  <si>
    <t>ebből: Európai Unió  (K86)</t>
  </si>
  <si>
    <t>ebből: kormányok és nemzetközi szervezetek (K86)</t>
  </si>
  <si>
    <t>ebből: egyéb külföldiek (K86)</t>
  </si>
  <si>
    <t>Lakástámogatás (K87)</t>
  </si>
  <si>
    <t>Felhalmozási célú támogatások az Európai Uniónak (K88)</t>
  </si>
  <si>
    <t>Egyéb felhalmozási célú támogatások államháztartáson kívülre (=256+…+265) (K89)</t>
  </si>
  <si>
    <t>ebből: egyházi jogi személyek (K89)</t>
  </si>
  <si>
    <t>ebből: nonprofit gazdasági társaságok (K89)</t>
  </si>
  <si>
    <t>ebből: egyéb civil szervezetek (K89)</t>
  </si>
  <si>
    <t>ebből: háztartások (K89)</t>
  </si>
  <si>
    <t>ebből: pénzügyi vállalkozások (K89)</t>
  </si>
  <si>
    <t>ebből: állami többségi tulajdonú nem pénzügyi vállalkozások (K89)</t>
  </si>
  <si>
    <t>ebből: önkormányzati többségi tulajdonú nem pénzügyi vállalkozások (K89)</t>
  </si>
  <si>
    <t>ebből: egyéb vállalkozások (K89)</t>
  </si>
  <si>
    <t>ebből: kormányok és nemzetközi szervezetek (K89)</t>
  </si>
  <si>
    <t>ebből: egyéb külföldiek (K89)</t>
  </si>
  <si>
    <t>Egyéb felhalmozási célú kiadások (=205+206+217+228+239+241+253+254+255) (K8)</t>
  </si>
  <si>
    <t>Költségvetési kiadások (=20+21+60+120+190+199+204+266) (K1-K8)</t>
  </si>
  <si>
    <t>Hosszú lejáratú hitelek, kölcsönök törlesztése pénzügyi vállalkozásnak (&gt;=02) (K9111)</t>
  </si>
  <si>
    <t>ebből: fedezeti ügyletek nettó kiadásai (K9111)</t>
  </si>
  <si>
    <t>Likviditási célú hitelek, kölcsönök törlesztése pénzügyi vállalkozásnak (K9112)</t>
  </si>
  <si>
    <t>Rövid lejáratú hitelek, kölcsönök törlesztése pénzügyi vállalkozásnak (&gt;=05) (K9113)</t>
  </si>
  <si>
    <t>ebből: fedezeti ügyletek nettó kiadásai (K9113)</t>
  </si>
  <si>
    <t>Hitel-, kölcsöntörlesztés államháztartáson kívülre (=01+03+04) (K911)</t>
  </si>
  <si>
    <t>Forgatási célú belföldi értékpapírok vásárlása (&gt;=08+09) (K9121)</t>
  </si>
  <si>
    <t>ebből: befektetési jegyek (K9121)</t>
  </si>
  <si>
    <t>ebből: kárpótlási jegyek (K9121)</t>
  </si>
  <si>
    <t>Befektetési célú belföldi értékpapírok vásárlása (K9122)</t>
  </si>
  <si>
    <t>Kincstárjegyek beváltása (K9123)</t>
  </si>
  <si>
    <t>Éven belüli lejáratú belföldi értékpapírok beváltása (&gt;=13+14+15) (K9124)</t>
  </si>
  <si>
    <t>ebből: fedezeti ügyletek nettó kiadásai (K9124)</t>
  </si>
  <si>
    <t>ebből: befektetési jegyek (K9124)</t>
  </si>
  <si>
    <t>ebből: kárpótlási jegyek (K9124)</t>
  </si>
  <si>
    <t>Belföldi kötvények beváltása (K9125)</t>
  </si>
  <si>
    <t>Éven túli lejáratú belföldi értékpapírok beváltása (&gt;=18) (K9126)</t>
  </si>
  <si>
    <t>ebből: fedezeti ügyletek nettó kiadásai (K9126)</t>
  </si>
  <si>
    <t>Belföldi értékpapírok kiadásai (=07+10+11+12+16+17) (K912)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</si>
  <si>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</si>
  <si>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</si>
  <si>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</si>
  <si>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</si>
  <si>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</si>
  <si>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</si>
  <si>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</si>
  <si>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</si>
  <si>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Tulajdonosi kölcsönök kiadásai (=26+27) (K919)</t>
  </si>
  <si>
    <t>Belföldi finanszírozás kiadásai (=06+19+…+25+28) (K91)</t>
  </si>
  <si>
    <t>Forgatási célú külföldi értékpapírok vásárlása (K921)</t>
  </si>
  <si>
    <t>Befektetési célú külföldi értékpapírok vásárlása (K922)</t>
  </si>
  <si>
    <t>Külföldi értékpapírok beváltása (&gt;=33) (K923)</t>
  </si>
  <si>
    <t>ebből: fedezeti ügyletek nettó kiadásai (K923)</t>
  </si>
  <si>
    <t>Hitelek, kölcsönök törlesztése külföldi kormányoknak és nemzetközi szervezeteknek (K924)</t>
  </si>
  <si>
    <t>Hitelek, kölcsönök törlesztése külföldi pénzintézeteknek (&gt;=36) (K925)</t>
  </si>
  <si>
    <t>ebből: fedezeti ügyletek nettó kiadásai (K925)</t>
  </si>
  <si>
    <t>Külföldi finanszírozás kiadásai (=30+31+32+34+35) (K92)</t>
  </si>
  <si>
    <t>Adóssághoz nem kapcsolódó származékos ügyletek kiadásai (K93)</t>
  </si>
  <si>
    <t>Váltókiadások (K94)</t>
  </si>
  <si>
    <t>Finanszírozási kiadások (=29+37+38+39) (K9)</t>
  </si>
  <si>
    <t>Fül-orr gége kauter orrvérzés csillapító</t>
  </si>
  <si>
    <t>Röntgen-ultrahang szék, asztal, lámpa</t>
  </si>
  <si>
    <t>Szemészet- szemészeti eszközök</t>
  </si>
  <si>
    <t>EKG - szék, infuziós állvány, végtagi doppler</t>
  </si>
  <si>
    <t>Pszichiátria - paraván, fotel, betegszék</t>
  </si>
  <si>
    <t>Infúzió - szekrény</t>
  </si>
  <si>
    <t>Lymphoedema - laborszék, bosu balance tréner</t>
  </si>
  <si>
    <t>Reumatológia - asztal, szék</t>
  </si>
  <si>
    <t>Háziorvosi rendelők bútorzat</t>
  </si>
  <si>
    <t>Eszköz felújítások</t>
  </si>
  <si>
    <t>Eszközvásárlás (benne: okos cigarettacsikk gy. és térfigy.kamerarendszer, körz.képv.keret 50%)</t>
  </si>
  <si>
    <t>K1-5</t>
  </si>
  <si>
    <t xml:space="preserve">MŰKÖDÉSI CÉLÚ KIADÁSOK </t>
  </si>
  <si>
    <t>2021. évi KGR szerinti rovatrend</t>
  </si>
  <si>
    <t>Térfigyelő kamera rendszer felújítása</t>
  </si>
  <si>
    <t>Táncsics utca felújítása</t>
  </si>
  <si>
    <t>Parkolási rendszer műszaki bővítése</t>
  </si>
  <si>
    <t>Átláthatósági, arculati tervek, fa kataszter</t>
  </si>
  <si>
    <t>BUDAPEST I. KERÜLET BUDAVÁRI ÖNKORMÁNYZAT ÉS INTÉZMÉNYEI
ÖSSZEVONT BEVÉTELEI ÉS KIADÁSAI (eFt)</t>
  </si>
  <si>
    <t>Irányító szerv tám nélküli finansz bevétel (Belf.fin-Kpi tám)</t>
  </si>
  <si>
    <t>Belső intézményi finanszírozás korrekciója (intézményfinanszírozás)</t>
  </si>
  <si>
    <t>Irányító szerv tám nélküli finansz kiadás (Belf.fin-Kpi tám)</t>
  </si>
  <si>
    <t>módosított előirányzat
 I.</t>
  </si>
  <si>
    <t>változás I.</t>
  </si>
  <si>
    <t>változás II.</t>
  </si>
  <si>
    <t>módosított előirányzat
 II.</t>
  </si>
  <si>
    <t>ebből: települési önkormányzatok egyes szociális és gyermekjóléti feladatainak támogatása (B1131)</t>
  </si>
  <si>
    <t>ebből: települési önkormányzatok gyermekétkeztetési feladatainak támogatása  (B1132)</t>
  </si>
  <si>
    <t>ebből: általános tartalék (K513)</t>
  </si>
  <si>
    <t>ebből: céltartalék (K513)</t>
  </si>
  <si>
    <t>Lisznyai park felújítás</t>
  </si>
  <si>
    <t>Márai Sándor Művelődési Ház+fal átrakás</t>
  </si>
  <si>
    <t>Esztergomi rondella tanulmány</t>
  </si>
  <si>
    <t>Virág Benedek Ház közösségi tér kialakítása</t>
  </si>
  <si>
    <t>Kulturális Nonprofit Kft létrehozása</t>
  </si>
  <si>
    <t>változás III.</t>
  </si>
  <si>
    <t>módosított előirányzat
 III.</t>
  </si>
  <si>
    <t>Egyéb t.eszköz felújítások</t>
  </si>
  <si>
    <t>Egyéb t.eszköz beruházások</t>
  </si>
  <si>
    <t>Ingatlanok felújítása</t>
  </si>
  <si>
    <t>Projektor</t>
  </si>
  <si>
    <t>E kisautó állófűtés</t>
  </si>
  <si>
    <t>Laptop</t>
  </si>
  <si>
    <t>plusz előirányzat kiegészítés</t>
  </si>
  <si>
    <t>Emléktáblák beszerzése</t>
  </si>
  <si>
    <t>Levegő minőségmérő műszer beszerzése</t>
  </si>
  <si>
    <t>Hulldékgyűjtők beszerzés</t>
  </si>
  <si>
    <t>Öntözőzsákok beszerzése</t>
  </si>
  <si>
    <t>Automata csepegtető öntözőrendszer</t>
  </si>
  <si>
    <t>Tabán tanösvény felújítása</t>
  </si>
  <si>
    <t>Dendrológiai tanösvény beruházás</t>
  </si>
  <si>
    <t>Ivókút beszerzése</t>
  </si>
  <si>
    <t>Testületi terem kamerarendszer besz.</t>
  </si>
  <si>
    <t>Padok és szemetesek beszerzés Céltartalékból</t>
  </si>
  <si>
    <t>Horváth-kert rehabilitációja terv</t>
  </si>
  <si>
    <t>Közösségi könyvszekrények kialakítása Céltartalékból</t>
  </si>
  <si>
    <t>Kilus kút  parkjának rendbe tétele padok cseréje Céltartalékból</t>
  </si>
  <si>
    <t>Batthyány u 18 pincehelyiség felújítása, kerékpárkölcsömző kialakítása</t>
  </si>
  <si>
    <t>Országház u. 9 átalakítása</t>
  </si>
  <si>
    <t>változás IV.</t>
  </si>
  <si>
    <t>módosított előirányzat
 IV.</t>
  </si>
  <si>
    <t>Autómata öntöző berendezés</t>
  </si>
  <si>
    <t>Gépjárművek beszerzése (4 db elektromos motorkerékpár, 2 db autó)</t>
  </si>
  <si>
    <t>2022. évi eredeti előirányzat</t>
  </si>
  <si>
    <t>BUDAPEST I. KERÜLET BUDAVÁRI ÖNKORMÁNYZAT
EGÉSZSÉGÜGYI SZOLGÁLATA FT</t>
  </si>
  <si>
    <t>Csalogány u. háziorvosi rendelő</t>
  </si>
  <si>
    <t>Attila u. háziorvosi rendelő - felújítás miatti bútorcsere</t>
  </si>
  <si>
    <t>Kisértékű tárgyi eszközök (lista a szöveges indoklásban)</t>
  </si>
  <si>
    <t>Dísz tér 03. - homlokzati nyílászárók felújítása/cseréje</t>
  </si>
  <si>
    <t>Úri utca 8. (Tóth Á. Sétány felőli) - homlokzati nyílászárók felújítása/cseréje</t>
  </si>
  <si>
    <t>Úri utca 14. (Tóth Á. Sétány felőli) - homlokzati nyílászárók felújítása/cseréje</t>
  </si>
  <si>
    <t>Úri utca 34. - udvari vízelveztés, burkolat cseréje</t>
  </si>
  <si>
    <t>Úri utca 32. (Tóth Á. Sétány felőli) - homlokzati nyílászárók felújítása/cseréje</t>
  </si>
  <si>
    <t>Úri utca 36. (Úri utcai) - homlokzati nyílászárók felújítása/cseréje</t>
  </si>
  <si>
    <t>Dísz tér 7. (Duna felőli) homlokzat és erkély felújítása</t>
  </si>
  <si>
    <t>Áthúzódó felújítások-beruházások</t>
  </si>
  <si>
    <t>Országház 9. irodaház kialakítás - felújítás I.-II. ütem</t>
  </si>
  <si>
    <t xml:space="preserve">Lovas u. 32. - külső homlokzat és nyílászárók felújítása </t>
  </si>
  <si>
    <t>Többfunkciós kistraktor (eszközökkel)</t>
  </si>
  <si>
    <t>Zamárdi üdülő</t>
  </si>
  <si>
    <t>Alsó kőház tetőcsere</t>
  </si>
  <si>
    <t>Gondnoki lakás felújítása</t>
  </si>
  <si>
    <t>Konyha felújítás</t>
  </si>
  <si>
    <t>Társalgó és homokozó fölé napernyő felszerelése</t>
  </si>
  <si>
    <t>Szobák ütemezett felújítása I. ütem</t>
  </si>
  <si>
    <t>Páraelszívó feleszerelése tusulókba</t>
  </si>
  <si>
    <t>Kőházak előterén hidegburkolat cseréje</t>
  </si>
  <si>
    <t>Udvari térburkolat javítása</t>
  </si>
  <si>
    <t>Kapu automatizálás</t>
  </si>
  <si>
    <t>Horány üdülő</t>
  </si>
  <si>
    <t>Vizesblokkok korszerűsítése, felújítása</t>
  </si>
  <si>
    <t>GAMESZ irodaház</t>
  </si>
  <si>
    <t>Irodaépület fogadó tér korszerűsítése</t>
  </si>
  <si>
    <t>Szélfogóba elektromos töltő telepítése</t>
  </si>
  <si>
    <t>Teraszra védőtető szerelése</t>
  </si>
  <si>
    <t>GAMESZ telephely</t>
  </si>
  <si>
    <t>Fedett gépkocsi parkoló létesítése</t>
  </si>
  <si>
    <t>Parkoló fölés napelemek telepítése</t>
  </si>
  <si>
    <t>LMP 340 dobozos kisteherautó cseréje</t>
  </si>
  <si>
    <t>Automata tűzoltórendszer a szerverszobához</t>
  </si>
  <si>
    <t>Fiat Ducato tehergépkocsi (2 db)</t>
  </si>
  <si>
    <t>Mosó egységek, tartály, ponyva (munkaeszközök) felszereléssel (4 db)</t>
  </si>
  <si>
    <t>Mathieu Azura kommunális seprőgép</t>
  </si>
  <si>
    <t>Elektromos seprő-felszívógép (Tenant 500 ZE)</t>
  </si>
  <si>
    <t>Tenax 1. 0 elektromos seprő-felszívógép</t>
  </si>
  <si>
    <t>Toyota Proace</t>
  </si>
  <si>
    <t>Önjáró elektromos hulladék szedőgép (Glutton vagy Tenant)</t>
  </si>
  <si>
    <t>Levegősűrítő kompresszor</t>
  </si>
  <si>
    <t>Áramfejlesztő TR13E</t>
  </si>
  <si>
    <t>Melegvizes mosó</t>
  </si>
  <si>
    <t>színes nyomtató WorkForce Pro WF-6590DTWFC (2 db)</t>
  </si>
  <si>
    <t>egy csoportszoba felújítása</t>
  </si>
  <si>
    <t>lámpatestek cseréje</t>
  </si>
  <si>
    <t>óvodatitkári iroda felújítása (parketta, álmennyezet)</t>
  </si>
  <si>
    <t>kerítés cseréjének folytatása</t>
  </si>
  <si>
    <t>Emeleti középső csoportszoba felújítása</t>
  </si>
  <si>
    <t>Tornaterem felújítása II. ütem</t>
  </si>
  <si>
    <t>2 db emeleti csoportszoba burkolat csere Magic Floor-ra</t>
  </si>
  <si>
    <t>földszinti 3 db csoportszobában motoros redőny felszerelése</t>
  </si>
  <si>
    <t>földszinti kis és középső csoportok öltözőinek teljes felújítása</t>
  </si>
  <si>
    <t>épület első bejáratánl terasz és lépcső elbontása, újáépítése</t>
  </si>
  <si>
    <t>kazánházi el. Elosztó átalakítása</t>
  </si>
  <si>
    <t>Toldy Ferenc u. 66.</t>
  </si>
  <si>
    <t>egy terem teljes felújítása</t>
  </si>
  <si>
    <t>radiátor burkolatok cseréje</t>
  </si>
  <si>
    <t>Mészáros u. 56/b</t>
  </si>
  <si>
    <t>öltözők, irodák, konyhák ablakaira redőny felszerelése</t>
  </si>
  <si>
    <t>logopédiai szoba padlóburkolat csere</t>
  </si>
  <si>
    <t>középső udvar. f.u. (csúszda, babaház, kosárlabda rögz.)</t>
  </si>
  <si>
    <t>harmadik emeleti zuhanyzó, wc felújítsa</t>
  </si>
  <si>
    <t>2. emeleti öltöző, konyha, iroda ablakaira redőny szerelése</t>
  </si>
  <si>
    <t>Tigris u. 58-60.</t>
  </si>
  <si>
    <t>személyzeti wc kialakítása, zuhanyzó felújítása</t>
  </si>
  <si>
    <t>udvari medence elbontása, helyének feltöltése</t>
  </si>
  <si>
    <t>udvari aszfalt burkolatra rekortán burkolás</t>
  </si>
  <si>
    <t>Dísz tér 3.</t>
  </si>
  <si>
    <t>konyha felújíátsa gépészettel</t>
  </si>
  <si>
    <t>gyermek vizesblokkok felújítása</t>
  </si>
  <si>
    <t>külső homlokzaton lévő fényforrások cseréje</t>
  </si>
  <si>
    <t>főbejárati lépcsők felújítása</t>
  </si>
  <si>
    <t>felső szint konyhjának felújítása II. ütem</t>
  </si>
  <si>
    <t>felső szint közlekedő, öltöző felújítása</t>
  </si>
  <si>
    <t>alsó szint folyosó, öltöző felújítása</t>
  </si>
  <si>
    <t>felső szint folyosó, öltöző felújítása</t>
  </si>
  <si>
    <t>Laptop (5 db)</t>
  </si>
  <si>
    <t>Nyárs u.-csúszdás torony (udvari játék)</t>
  </si>
  <si>
    <t>Nyárs u.-babaház</t>
  </si>
  <si>
    <t>Nyárs u.-nevelői szoba könyvespolcok cseréje</t>
  </si>
  <si>
    <t>Mészáros u.-Udvari játék (fészekhinta)</t>
  </si>
  <si>
    <t>Lovas u.-Mosogatógép</t>
  </si>
  <si>
    <t>Dísz tér-óvodatitkári irodába polcok, szekrények</t>
  </si>
  <si>
    <t>Toldy F. u.-Udvari játék (torony)</t>
  </si>
  <si>
    <t>Iskola u.-színes fénymásoló</t>
  </si>
  <si>
    <t>Iskola u.-udvari játék (plutó egyensúlyozó)</t>
  </si>
  <si>
    <t>Iskola u.-szekrénysor logopédiai szobába</t>
  </si>
  <si>
    <t>Iskola u.-szekrénysor fejlesztő szobába</t>
  </si>
  <si>
    <t>Iskola u.-szekrénysor teraszra</t>
  </si>
  <si>
    <t>Iskola u. 22-24.</t>
  </si>
  <si>
    <t>Mosoda áttelepítése az alagsorba, emeleten tornaszoba kialakítása, két helység összenyitásával</t>
  </si>
  <si>
    <t>Gyermek vizesblokkok felújítása (3 db), csempézés, világítás, padlóburk. Csere</t>
  </si>
  <si>
    <t xml:space="preserve">Emeleti iroda felújítása </t>
  </si>
  <si>
    <t>Teljes padlóburkolat csere</t>
  </si>
  <si>
    <t>Acélszerkezetű polikarbonát előtető a teraszon</t>
  </si>
  <si>
    <t>közös lépcsőházban lépcsőfokok felújítása</t>
  </si>
  <si>
    <t>Épület melletti lépcső felújítása</t>
  </si>
  <si>
    <t>Játszóudvar gumitéglák cseréje öntött gumira</t>
  </si>
  <si>
    <t>konyhai-hulladék örlő/megsemmisítő</t>
  </si>
  <si>
    <t>Kismodul készlet-mozgásfejlesztő (4 db)</t>
  </si>
  <si>
    <t>Irodabútorok cseréje (vezetői iroda, vez. helyettesi iroda, szülői fogadó)</t>
  </si>
  <si>
    <t>Laptop (3 db)</t>
  </si>
  <si>
    <t>kisértékű tárgyi eszközök</t>
  </si>
  <si>
    <t>családsegítő szoba vizesedés megszűntetése</t>
  </si>
  <si>
    <t>Split klíma kiépítése</t>
  </si>
  <si>
    <t>pincei vizesedés megszüntetése</t>
  </si>
  <si>
    <t>hátsó iroda mennyezeti vakolat felújítása</t>
  </si>
  <si>
    <t>szomszéd helység egybenyitása II. ütem</t>
  </si>
  <si>
    <t>Split klíma kiépítése a társalgóba</t>
  </si>
  <si>
    <t>lmpatestek cseréje LED-re</t>
  </si>
  <si>
    <t>III. sz. Idősek Klubja (Fő u. 31.)</t>
  </si>
  <si>
    <t>klubterem salétromos fal felújítása</t>
  </si>
  <si>
    <t>galériában vil.testek cseréje</t>
  </si>
  <si>
    <t>Klíma-gondozási kp nagytermébe</t>
  </si>
  <si>
    <t>Klíma-családsegítő szolg. Irodába</t>
  </si>
  <si>
    <t>Teniszpálya és műfüves pálya világítás korszerűsítés</t>
  </si>
  <si>
    <t>Központi épület hátsó rész világítás kiépítése</t>
  </si>
  <si>
    <t>Kapuügyeleti kis faház</t>
  </si>
  <si>
    <t>két iroda és műhely világítás korszerűsítés</t>
  </si>
  <si>
    <t>kaputól a közösségi épületig térköves út készítése</t>
  </si>
  <si>
    <t>esővíz gyűjtéshez tartályok, szivattyú (gazdaságos locsoláshoz)</t>
  </si>
  <si>
    <t>HIVATAL és INTÉZMÉNYEK ÖSSZESEN</t>
  </si>
  <si>
    <t xml:space="preserve"> BUDAPEST I. KERÜLET BUDAVÁRI ÖNKORMÁNYZAT
2022. ÉVI ÖSSZEVONT KÖLTSÉGVETÉSI MÉRLEGE KÖZGAZDASÁGI TAGOLÁSBAN</t>
  </si>
  <si>
    <t>Államháztartáson belüli megelőlegezések visszafizetése</t>
  </si>
  <si>
    <t>Okos város fejlesztések: app-ok levegőtisztasági adatok, zajszennyezés rögzítéséhez</t>
  </si>
  <si>
    <t>Lisznyai park fejlesztése (2021-ről áthúzódó)</t>
  </si>
  <si>
    <t>Dendrológiai tanösvény tervezése, megvalósítása</t>
  </si>
  <si>
    <t>Reformációs emlékkút átalakítása víztakarékos üzemeltetésre</t>
  </si>
  <si>
    <t>Öntözőrendszerek tervezése, létesítése</t>
  </si>
  <si>
    <t>Ivókutak, párakapuk létesítése</t>
  </si>
  <si>
    <t xml:space="preserve">Közutakat, járdákat, közterületeket érintő forgalomtechnikai kis korrekciós beavatkozások kivitelezése </t>
  </si>
  <si>
    <t>Zajmérőműszer beszerzése</t>
  </si>
  <si>
    <t>Levegőminőségmérő műszer (10 db)</t>
  </si>
  <si>
    <t>Hőkamera beszerzés</t>
  </si>
  <si>
    <t>Vízivárosi forgalomcsökkentés Mária tér pilot projekt</t>
  </si>
  <si>
    <t xml:space="preserve">Szelektív gyűjtőszigetekhez kamera </t>
  </si>
  <si>
    <t>Süllyedő pollerekhez kamera</t>
  </si>
  <si>
    <t>Logodi utcai idősek otthona tervezés (engedélyezési- és kiviteli terv)</t>
  </si>
  <si>
    <t>Lovas út 11-12. alatti apartmanház tervezése</t>
  </si>
  <si>
    <t>Batthyány utcai iskola tornaterem kiviteli terve</t>
  </si>
  <si>
    <t>Batthyány utcai iskola tornaterem kivitelezése</t>
  </si>
  <si>
    <t>Csalogány utca 20-26 előtti tér közterületi fejlesztése</t>
  </si>
  <si>
    <t>Budavári - vári parkolóterminálok beszerzése 12</t>
  </si>
  <si>
    <t>Budavári - vári sorompóoszlop beszerzése</t>
  </si>
  <si>
    <t>Tabáni tanösvény felújítás</t>
  </si>
  <si>
    <t>Közterületi lépcsők felmérése, felújítás ütemezés tervezése</t>
  </si>
  <si>
    <t>7131 hrsz lépcső tartószerkezeti hibák megszüntetése, felújítás</t>
  </si>
  <si>
    <t>Kutyafuttatók felújítása, fejlesztése</t>
  </si>
  <si>
    <t>Műemléki kőelemek rekonstr., pótl.</t>
  </si>
  <si>
    <t>Városháza épület tetőfelújítása</t>
  </si>
  <si>
    <t>Városháza épület éptéstörténeti/örökségvédelmi kutatás</t>
  </si>
  <si>
    <t>Városháza épület gépészeti felújítása tervezés</t>
  </si>
  <si>
    <t>Városháza épület gépészeti felújítása kivitelezés</t>
  </si>
  <si>
    <t>Budavári - Palota úti őrház felújítása</t>
  </si>
  <si>
    <t>Session rendszer beszerzése</t>
  </si>
  <si>
    <t>változás</t>
  </si>
  <si>
    <t>módosított előirányzat
 (...)</t>
  </si>
  <si>
    <t>Képviselő-testület tagjai</t>
  </si>
  <si>
    <t>Nem képviselő bizottsági tagok</t>
  </si>
  <si>
    <t>BUDAPEST FŐVÁROS I. KERÜLET BUDAVÁRI POLGÁRMESTERI HIVATAL</t>
  </si>
  <si>
    <t>Köztisztviselő (Kttv.)</t>
  </si>
  <si>
    <t>Közalkalmazott (Kjt.)</t>
  </si>
  <si>
    <t>Munkatörvénykönyve alá tartozó (Mt.)</t>
  </si>
  <si>
    <t>BRUNSZVIK TERÉZ BUDAVÁRI ÓVODÁK</t>
  </si>
  <si>
    <t>BUDAPEST I. KERÜLET BUDAVÁRI ÖNKORMÁNYZAT EGÉSZSÉGÜGYI SZOLGÁLATA</t>
  </si>
  <si>
    <t>2 db szolgálati gépjármű vásárlása</t>
  </si>
  <si>
    <t>Közterület ügyfélszolgálati iroda öltöző szekrény és infra fűtőpanel</t>
  </si>
  <si>
    <t>Katasztrófavédelemmel kapcsolatos kiadások (az új raktár berendezése, felszerelése)</t>
  </si>
  <si>
    <t>Hivatali beruházások (irodák kialakítása)</t>
  </si>
  <si>
    <t>Informatikai eszközök beszerzési kerete</t>
  </si>
  <si>
    <t>Egyéb tárgyi eszközök beszerzése</t>
  </si>
  <si>
    <t>Épület felújítás</t>
  </si>
  <si>
    <t>Informatikai eszközök felújítása</t>
  </si>
  <si>
    <t>Egyéb tárgyieszközök felújítása</t>
  </si>
  <si>
    <t>Szabó Ilonka kutyafuttató</t>
  </si>
  <si>
    <t>Logodi utcai idősek otthona tervezés  - koncepcióterv</t>
  </si>
  <si>
    <t>Városháza épület biztonsági beléptető rendszer létesítés</t>
  </si>
  <si>
    <t>Horváth-kert fejlesztés</t>
  </si>
  <si>
    <t>Szentháromság tér zöldterületi fejlesztése tervpályázat</t>
  </si>
  <si>
    <t>Csikkgyűjtő (20 db) szelektív gyűjtők mellé</t>
  </si>
  <si>
    <t>Kutyapiszok gyűjtő bővítés telepítéssel (15 db)</t>
  </si>
  <si>
    <t>Naphegy tér fejlesztése</t>
  </si>
  <si>
    <t>Városháza épület földszint és emeleti kabinet átalakítása tervezés</t>
  </si>
  <si>
    <t>14218 hrsz lépcső restaurálás szakvélemény, tervezés, kivitelezés</t>
  </si>
  <si>
    <r>
      <t xml:space="preserve">Utcabútorok, </t>
    </r>
    <r>
      <rPr>
        <sz val="11"/>
        <rFont val="Calibri"/>
        <family val="2"/>
        <charset val="238"/>
        <scheme val="minor"/>
      </rPr>
      <t>virágládák, táblák, pollerek, egyéb tárgyi eszk. beszerzése</t>
    </r>
  </si>
  <si>
    <t>Támogatások</t>
  </si>
  <si>
    <t>K506</t>
  </si>
  <si>
    <t xml:space="preserve">BRFK </t>
  </si>
  <si>
    <t>SNI-s gyermekek óvodai ellátása</t>
  </si>
  <si>
    <t>Sérült gyermekek napközi otthoni ellátása</t>
  </si>
  <si>
    <t>Gyermekek átmeneti otthoni ellátása</t>
  </si>
  <si>
    <t>nemzetiségi önkormányzatok</t>
  </si>
  <si>
    <t>összesen</t>
  </si>
  <si>
    <t>K512</t>
  </si>
  <si>
    <t>Budapest Film Zrt</t>
  </si>
  <si>
    <t>Részvételi keret</t>
  </si>
  <si>
    <t>Bursa Hungarika</t>
  </si>
  <si>
    <t>Klimapályázat iskolásoknak</t>
  </si>
  <si>
    <t>Kertszépítés pályázat 2021</t>
  </si>
  <si>
    <t>Kertszépítés pályázat 2022</t>
  </si>
  <si>
    <t>Zöldfak pályázat 2021</t>
  </si>
  <si>
    <t>Zöldfak pályázat 2022</t>
  </si>
  <si>
    <t>Energiahatékonysági pályázat 2021</t>
  </si>
  <si>
    <t>Energiahatékonysági pályázat 2022</t>
  </si>
  <si>
    <t>Aknázómoly elleni védekezés (lakossági támogatás)</t>
  </si>
  <si>
    <t>Budavári Kulturális Nonprofit Kft</t>
  </si>
  <si>
    <t>BUJSz</t>
  </si>
  <si>
    <t>Budavári Lakásügynökésg</t>
  </si>
  <si>
    <t>I. kerületi Házgondnoksági Kft</t>
  </si>
  <si>
    <t>4 közalapítvány</t>
  </si>
  <si>
    <t>alapítványok, egyesületek</t>
  </si>
  <si>
    <t>Lakosságnak bokrétafák injektálása, permetezése</t>
  </si>
  <si>
    <t>Fiatalházasok lakásépítési támogatása</t>
  </si>
  <si>
    <t>Társasházak hiteltámogatása</t>
  </si>
  <si>
    <t>Családi bölcsőde támogatása</t>
  </si>
  <si>
    <t>Hajléktalanok támogatása MMSzSz</t>
  </si>
  <si>
    <t>Egyházak támogatása</t>
  </si>
  <si>
    <t>Közép-Budai Tankerület gyógypedgógusok bére</t>
  </si>
  <si>
    <t>Közép-Budai Tankerület fejlesztésre</t>
  </si>
  <si>
    <t>Polgárőr, Önkéntes Tűzoltóság támogfatása</t>
  </si>
  <si>
    <t>Nyári tábor</t>
  </si>
  <si>
    <t>Főkert Nonprofit Kft</t>
  </si>
  <si>
    <t>Toldy Ferenc u. 25. parkoló rendbetétele</t>
  </si>
  <si>
    <t>Markovits utcai kazettás járdaszakasz rendezése</t>
  </si>
  <si>
    <t>Kerékpárvásárlási támogatás fiataloknak</t>
  </si>
  <si>
    <t xml:space="preserve">Okosváros megoldások megvalósítása </t>
  </si>
  <si>
    <t xml:space="preserve">Hunyadi úti park felújítása </t>
  </si>
  <si>
    <t>Mikromobilitási pontok létesítése</t>
  </si>
  <si>
    <t>Új fakivágási rendelet</t>
  </si>
  <si>
    <t xml:space="preserve">Toldy Ferenc Gimnázium kapu felújítás </t>
  </si>
  <si>
    <t>sorszám</t>
  </si>
  <si>
    <t>Kerületi lakáscélú ingatlanállomány bővítése</t>
  </si>
  <si>
    <t>Vári turizmust támogató beruházások</t>
  </si>
  <si>
    <t>Fiáth János utca macskakő burkolat felújításának tervezése</t>
  </si>
  <si>
    <t>Katasztrofavédelmi támogatás</t>
  </si>
  <si>
    <r>
      <t xml:space="preserve">Közvilágítás kiépítés, </t>
    </r>
    <r>
      <rPr>
        <sz val="11"/>
        <rFont val="Calibri"/>
        <family val="2"/>
        <charset val="238"/>
        <scheme val="minor"/>
      </rPr>
      <t>energiahatékonyságot növelő korszerűsítés (BDK-val együttműködve)</t>
    </r>
  </si>
  <si>
    <t>Megnevezés</t>
  </si>
  <si>
    <t>Kötelező feladat</t>
  </si>
  <si>
    <t>Önként vállalt feladat</t>
  </si>
  <si>
    <t>Összesen</t>
  </si>
  <si>
    <t>2022. évi módosított előirányzat</t>
  </si>
  <si>
    <t>2022. évi
 eredeti előirányzat</t>
  </si>
  <si>
    <t>1.</t>
  </si>
  <si>
    <t>2.</t>
  </si>
  <si>
    <t>3.</t>
  </si>
  <si>
    <t>4.</t>
  </si>
  <si>
    <t>Adatok eFt-ban</t>
  </si>
  <si>
    <t>II. Felhalmozási költségvetési bevételek</t>
  </si>
  <si>
    <t>I. Működési költségvetési bevételek (önkormányzat és intézményei)</t>
  </si>
  <si>
    <t>KÖLTSÉGVETÉSI BEVÉTELEK ÖSSZESEN</t>
  </si>
  <si>
    <t>III. Finanszírozási bevételek</t>
  </si>
  <si>
    <t>Költségvetési hiány belső finanszírozása</t>
  </si>
  <si>
    <t>1.1. Előző évi maradvány igénybevétele</t>
  </si>
  <si>
    <t>1.2. Betétek megszüntetése</t>
  </si>
  <si>
    <t>Költségvetési hiány külső finanszírozása</t>
  </si>
  <si>
    <t>Irányító szervi támogatások folyósítása</t>
  </si>
  <si>
    <t>I. Működési költségvetési kiadások</t>
  </si>
  <si>
    <t>I. /1. Önkormányzat</t>
  </si>
  <si>
    <t>BEVÉTELEK MINDÖSSZESEN (irányító szervi támogatások nélkül)</t>
  </si>
  <si>
    <t>Személyi juttatások, munkaadókat terhelő járulékok és dologi kiadások</t>
  </si>
  <si>
    <t>1.-3.</t>
  </si>
  <si>
    <t>5.</t>
  </si>
  <si>
    <t>I. /2. Önkormányzat irányítása alá tartozó intézmények</t>
  </si>
  <si>
    <t>Polgármesteri Hivatal</t>
  </si>
  <si>
    <t>Budavári Önkormányzat Egészségügyi Szolgálata</t>
  </si>
  <si>
    <t>Budavári Önk. Gazdasági Műszaki Ellátó és Szolgáltató Szervezet</t>
  </si>
  <si>
    <t>Brunkszvik Teréz Budavári Óvodák</t>
  </si>
  <si>
    <t>Budavári Önkormányzat Egyesített Bölcsőde</t>
  </si>
  <si>
    <t>Budavári Önk. Szosziális és Gyermekjóléti Szolgáltatási Központ</t>
  </si>
  <si>
    <t>Csakó utcai Sport és Szabadidőközpont</t>
  </si>
  <si>
    <t>II. Felhalmozási költségvetési kiadások</t>
  </si>
  <si>
    <t>II. /1. Önkormányzat</t>
  </si>
  <si>
    <t>Egyéb felhalmozási kiadások</t>
  </si>
  <si>
    <t>Felhalmozási célú támogatások államháztartáson belülre</t>
  </si>
  <si>
    <t>Felhalmozási célú támogatások államháztartáson kívülre</t>
  </si>
  <si>
    <t>II. /2. Önkormányzat irányítása alá tartozó intézmények</t>
  </si>
  <si>
    <t>KÖLTSÉGVETÉSI KIADÁSOK ÖSSZESEN</t>
  </si>
  <si>
    <t>III. Finanszírozási kiadások</t>
  </si>
  <si>
    <t>KIADÁSOK MINDÖSSZESEN (irányító szervi támogatások folyósítása nélkül)</t>
  </si>
  <si>
    <t>Szeder lépcső és kutyafuttató környezet rendezése, felújítása</t>
  </si>
  <si>
    <t>Szentháromság téri zöldfelület megújítása (önerő)</t>
  </si>
  <si>
    <t>Városháza épület földszint és emeleti kabinet átalakítása kivitelezés I. üteme</t>
  </si>
  <si>
    <t>Egyéb kulturális célok támogatások</t>
  </si>
  <si>
    <t>Bölcsőde fejlesztése - Dezső utca 8.</t>
  </si>
  <si>
    <t>FKF-vel külön megállapodás plusz takarításra</t>
  </si>
  <si>
    <t>Új kerületi nevezetességek, útvonal mutató táblák telepítése</t>
  </si>
  <si>
    <t>EU-s pályázatok előkészítése</t>
  </si>
  <si>
    <t>Térfigyelő kamerarendszer bővítésére</t>
  </si>
  <si>
    <t>Óvoda, bölcsőde informatikai eszközbeszerzési keret</t>
  </si>
  <si>
    <t>Kolodko szobrok karbantartása</t>
  </si>
  <si>
    <t>COVID és krízisalap</t>
  </si>
  <si>
    <t>közterület dolgozói részére telefonkészülékek beszerzése (létszám bővítés és elhasználódás miatt)</t>
  </si>
  <si>
    <t>Batthyány tér felszíni átalakítása (TÉR_KÖZ)</t>
  </si>
  <si>
    <t>ebből: betét  megszüntetése</t>
  </si>
  <si>
    <t>ebből: betét lekötés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</si>
</sst>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F_t_-;\-* #,##0.00\ _F_t_-;_-* &quot;-&quot;??\ _F_t_-;_-@_-"/>
    <numFmt numFmtId="165" formatCode="#,##0_ ;[Red]\-#,##0\ "/>
    <numFmt numFmtId="166" formatCode="_-* #,##0_-;\-* #,##0_-;_-* &quot;-&quot;??_-;_-@_-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2"/>
      <color rgb="FFFF0000"/>
      <name val="Arial Narrow"/>
      <family val="2"/>
      <charset val="238"/>
    </font>
    <font>
      <b/>
      <i/>
      <sz val="12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Arial Narrow"/>
      <family val="2"/>
      <charset val="238"/>
    </font>
    <font>
      <b/>
      <sz val="12"/>
      <color rgb="FF0070C0"/>
      <name val="Arial Narrow"/>
      <family val="2"/>
      <charset val="238"/>
    </font>
    <font>
      <sz val="12"/>
      <color rgb="FF0070C0"/>
      <name val="Arial Narrow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gray0625">
        <f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medium">
        <color indexed="64"/>
      </left>
      <right style="hair">
        <color rgb="FF0070C0"/>
      </right>
      <top style="medium">
        <color indexed="64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medium">
        <color indexed="64"/>
      </top>
      <bottom style="hair">
        <color rgb="FF0070C0"/>
      </bottom>
      <diagonal/>
    </border>
    <border>
      <left style="medium">
        <color indexed="64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indexed="64"/>
      </left>
      <right style="hair">
        <color rgb="FF0070C0"/>
      </right>
      <top style="hair">
        <color rgb="FF0070C0"/>
      </top>
      <bottom style="medium">
        <color indexed="64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medium">
        <color indexed="64"/>
      </bottom>
      <diagonal/>
    </border>
    <border>
      <left style="medium">
        <color indexed="64"/>
      </left>
      <right style="hair">
        <color rgb="FF0070C0"/>
      </right>
      <top style="hair">
        <color rgb="FF0070C0"/>
      </top>
      <bottom/>
      <diagonal/>
    </border>
    <border>
      <left style="hair">
        <color rgb="FF0070C0"/>
      </left>
      <right style="hair">
        <color rgb="FF0070C0"/>
      </right>
      <top style="hair">
        <color rgb="FF0070C0"/>
      </top>
      <bottom/>
      <diagonal/>
    </border>
    <border>
      <left style="medium">
        <color indexed="64"/>
      </left>
      <right style="hair">
        <color rgb="FF0070C0"/>
      </right>
      <top/>
      <bottom style="hair">
        <color rgb="FF0070C0"/>
      </bottom>
      <diagonal/>
    </border>
    <border>
      <left style="hair">
        <color rgb="FF0070C0"/>
      </left>
      <right style="hair">
        <color rgb="FF0070C0"/>
      </right>
      <top/>
      <bottom style="hair">
        <color rgb="FF0070C0"/>
      </bottom>
      <diagonal/>
    </border>
    <border>
      <left/>
      <right style="hair">
        <color rgb="FF0070C0"/>
      </right>
      <top/>
      <bottom style="hair">
        <color rgb="FF0070C0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70C0"/>
      </left>
      <right/>
      <top style="medium">
        <color indexed="64"/>
      </top>
      <bottom style="hair">
        <color rgb="FF0070C0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 style="hair">
        <color rgb="FF0070C0"/>
      </left>
      <right/>
      <top style="hair">
        <color rgb="FF0070C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hair">
        <color rgb="FF0070C0"/>
      </left>
      <right style="medium">
        <color indexed="64"/>
      </right>
      <top style="medium">
        <color indexed="64"/>
      </top>
      <bottom style="hair">
        <color rgb="FF0070C0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3" fillId="0" borderId="0"/>
    <xf numFmtId="0" fontId="2" fillId="0" borderId="0"/>
    <xf numFmtId="3" fontId="4" fillId="0" borderId="0">
      <alignment horizontal="right" vertical="center"/>
    </xf>
    <xf numFmtId="40" fontId="5" fillId="0" borderId="0" applyFont="0" applyFill="0" applyBorder="0" applyAlignment="0" applyProtection="0"/>
    <xf numFmtId="3" fontId="6" fillId="0" borderId="4">
      <alignment horizontal="right" vertical="center" wrapText="1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8" fillId="0" borderId="0"/>
    <xf numFmtId="9" fontId="1" fillId="0" borderId="0" applyFont="0" applyFill="0" applyBorder="0" applyAlignment="0" applyProtection="0"/>
  </cellStyleXfs>
  <cellXfs count="900">
    <xf numFmtId="0" fontId="0" fillId="0" borderId="0" xfId="0"/>
    <xf numFmtId="3" fontId="8" fillId="0" borderId="4" xfId="0" applyNumberFormat="1" applyFont="1" applyFill="1" applyBorder="1" applyAlignment="1">
      <alignment horizontal="right" vertical="center"/>
    </xf>
    <xf numFmtId="3" fontId="7" fillId="0" borderId="33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 shrinkToFit="1"/>
    </xf>
    <xf numFmtId="3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8" fillId="0" borderId="23" xfId="0" applyNumberFormat="1" applyFont="1" applyFill="1" applyBorder="1" applyAlignment="1">
      <alignment horizontal="right" wrapText="1"/>
    </xf>
    <xf numFmtId="3" fontId="8" fillId="0" borderId="21" xfId="0" applyNumberFormat="1" applyFont="1" applyFill="1" applyBorder="1" applyAlignment="1">
      <alignment horizontal="right" wrapText="1"/>
    </xf>
    <xf numFmtId="49" fontId="7" fillId="0" borderId="0" xfId="0" applyNumberFormat="1" applyFont="1" applyFill="1" applyBorder="1" applyAlignment="1">
      <alignment horizontal="center" vertical="center" wrapText="1"/>
    </xf>
    <xf numFmtId="3" fontId="8" fillId="0" borderId="25" xfId="0" applyNumberFormat="1" applyFont="1" applyFill="1" applyBorder="1" applyAlignment="1">
      <alignment horizontal="left" vertical="center"/>
    </xf>
    <xf numFmtId="3" fontId="8" fillId="0" borderId="23" xfId="0" applyNumberFormat="1" applyFont="1" applyFill="1" applyBorder="1" applyAlignment="1">
      <alignment horizontal="left" vertical="center"/>
    </xf>
    <xf numFmtId="3" fontId="8" fillId="0" borderId="24" xfId="0" applyNumberFormat="1" applyFont="1" applyFill="1" applyBorder="1" applyAlignment="1">
      <alignment horizontal="left" vertical="center"/>
    </xf>
    <xf numFmtId="3" fontId="8" fillId="0" borderId="4" xfId="0" applyNumberFormat="1" applyFont="1" applyFill="1" applyBorder="1" applyAlignment="1">
      <alignment horizontal="left" vertical="center"/>
    </xf>
    <xf numFmtId="3" fontId="8" fillId="0" borderId="28" xfId="0" applyNumberFormat="1" applyFont="1" applyFill="1" applyBorder="1" applyAlignment="1">
      <alignment horizontal="left" vertical="center"/>
    </xf>
    <xf numFmtId="3" fontId="8" fillId="0" borderId="4" xfId="0" applyNumberFormat="1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/>
    </xf>
    <xf numFmtId="49" fontId="10" fillId="0" borderId="43" xfId="0" applyNumberFormat="1" applyFont="1" applyFill="1" applyBorder="1" applyAlignment="1" applyProtection="1">
      <alignment horizontal="center" vertical="center" wrapText="1"/>
    </xf>
    <xf numFmtId="0" fontId="10" fillId="0" borderId="44" xfId="1" applyFont="1" applyFill="1" applyBorder="1" applyAlignment="1" applyProtection="1">
      <alignment horizontal="left" vertical="center"/>
    </xf>
    <xf numFmtId="0" fontId="10" fillId="0" borderId="45" xfId="1" applyFont="1" applyFill="1" applyBorder="1" applyAlignment="1" applyProtection="1">
      <alignment horizontal="left" vertical="center"/>
    </xf>
    <xf numFmtId="3" fontId="10" fillId="0" borderId="45" xfId="0" applyNumberFormat="1" applyFont="1" applyFill="1" applyBorder="1" applyAlignment="1" applyProtection="1">
      <alignment horizontal="right" vertical="center"/>
    </xf>
    <xf numFmtId="3" fontId="10" fillId="0" borderId="45" xfId="0" applyNumberFormat="1" applyFont="1" applyFill="1" applyBorder="1" applyAlignment="1" applyProtection="1">
      <alignment horizontal="right"/>
    </xf>
    <xf numFmtId="49" fontId="10" fillId="0" borderId="44" xfId="1" applyNumberFormat="1" applyFont="1" applyFill="1" applyBorder="1" applyAlignment="1" applyProtection="1">
      <alignment horizontal="left" vertical="center"/>
    </xf>
    <xf numFmtId="3" fontId="6" fillId="0" borderId="45" xfId="0" applyNumberFormat="1" applyFont="1" applyFill="1" applyBorder="1" applyAlignment="1" applyProtection="1">
      <alignment horizontal="right" vertical="center"/>
    </xf>
    <xf numFmtId="3" fontId="6" fillId="0" borderId="45" xfId="0" applyNumberFormat="1" applyFont="1" applyFill="1" applyBorder="1" applyAlignment="1" applyProtection="1">
      <alignment horizontal="right"/>
    </xf>
    <xf numFmtId="3" fontId="6" fillId="0" borderId="49" xfId="0" applyNumberFormat="1" applyFont="1" applyFill="1" applyBorder="1" applyAlignment="1" applyProtection="1">
      <alignment horizontal="right"/>
    </xf>
    <xf numFmtId="3" fontId="6" fillId="0" borderId="45" xfId="1" applyNumberFormat="1" applyFont="1" applyFill="1" applyBorder="1" applyAlignment="1" applyProtection="1">
      <alignment horizontal="right" vertical="center"/>
    </xf>
    <xf numFmtId="0" fontId="6" fillId="0" borderId="45" xfId="1" applyFont="1" applyFill="1" applyBorder="1" applyAlignment="1" applyProtection="1">
      <alignment horizontal="left" vertical="center" shrinkToFit="1"/>
    </xf>
    <xf numFmtId="0" fontId="6" fillId="0" borderId="50" xfId="1" applyFont="1" applyFill="1" applyBorder="1" applyAlignment="1" applyProtection="1">
      <alignment horizontal="left" vertical="center"/>
    </xf>
    <xf numFmtId="0" fontId="6" fillId="0" borderId="51" xfId="1" applyFont="1" applyFill="1" applyBorder="1" applyAlignment="1" applyProtection="1">
      <alignment horizontal="left" vertical="center"/>
    </xf>
    <xf numFmtId="3" fontId="6" fillId="0" borderId="51" xfId="0" applyNumberFormat="1" applyFont="1" applyFill="1" applyBorder="1" applyAlignment="1" applyProtection="1">
      <alignment horizontal="right" vertical="center"/>
    </xf>
    <xf numFmtId="0" fontId="10" fillId="0" borderId="44" xfId="1" applyFont="1" applyFill="1" applyBorder="1" applyProtection="1"/>
    <xf numFmtId="0" fontId="6" fillId="0" borderId="44" xfId="1" applyFont="1" applyFill="1" applyBorder="1" applyAlignment="1" applyProtection="1">
      <alignment horizontal="center" vertical="center"/>
    </xf>
    <xf numFmtId="0" fontId="6" fillId="0" borderId="45" xfId="1" applyFont="1" applyFill="1" applyBorder="1" applyAlignment="1" applyProtection="1">
      <alignment horizontal="center" vertical="center"/>
    </xf>
    <xf numFmtId="0" fontId="6" fillId="0" borderId="45" xfId="1" applyFont="1" applyFill="1" applyBorder="1" applyAlignment="1" applyProtection="1">
      <alignment horizontal="right" vertical="center"/>
    </xf>
    <xf numFmtId="0" fontId="6" fillId="0" borderId="45" xfId="1" applyFont="1" applyFill="1" applyBorder="1" applyAlignment="1" applyProtection="1">
      <alignment horizontal="left" vertical="center" wrapText="1"/>
    </xf>
    <xf numFmtId="0" fontId="10" fillId="0" borderId="45" xfId="1" applyFont="1" applyFill="1" applyBorder="1" applyAlignment="1" applyProtection="1">
      <alignment vertical="top"/>
    </xf>
    <xf numFmtId="3" fontId="10" fillId="0" borderId="47" xfId="0" applyNumberFormat="1" applyFont="1" applyFill="1" applyBorder="1" applyAlignment="1" applyProtection="1">
      <alignment horizontal="right" vertical="center"/>
    </xf>
    <xf numFmtId="0" fontId="10" fillId="0" borderId="42" xfId="1" applyFont="1" applyFill="1" applyBorder="1" applyAlignment="1" applyProtection="1">
      <alignment vertical="center"/>
    </xf>
    <xf numFmtId="3" fontId="6" fillId="0" borderId="43" xfId="0" applyNumberFormat="1" applyFont="1" applyFill="1" applyBorder="1" applyAlignment="1" applyProtection="1">
      <alignment vertical="center"/>
    </xf>
    <xf numFmtId="0" fontId="10" fillId="0" borderId="44" xfId="1" applyFont="1" applyFill="1" applyBorder="1" applyAlignment="1" applyProtection="1">
      <alignment vertical="center"/>
    </xf>
    <xf numFmtId="49" fontId="6" fillId="0" borderId="44" xfId="1" applyNumberFormat="1" applyFont="1" applyFill="1" applyBorder="1" applyAlignment="1" applyProtection="1">
      <alignment vertical="center"/>
    </xf>
    <xf numFmtId="0" fontId="6" fillId="0" borderId="45" xfId="1" applyFont="1" applyFill="1" applyBorder="1" applyAlignment="1" applyProtection="1">
      <alignment vertical="center"/>
    </xf>
    <xf numFmtId="0" fontId="10" fillId="0" borderId="46" xfId="1" applyFont="1" applyFill="1" applyBorder="1" applyAlignment="1" applyProtection="1">
      <alignment horizontal="left" vertical="center"/>
    </xf>
    <xf numFmtId="0" fontId="10" fillId="0" borderId="45" xfId="1" applyFont="1" applyFill="1" applyBorder="1" applyProtection="1"/>
    <xf numFmtId="49" fontId="10" fillId="0" borderId="44" xfId="1" applyNumberFormat="1" applyFont="1" applyFill="1" applyBorder="1" applyProtection="1"/>
    <xf numFmtId="0" fontId="6" fillId="0" borderId="44" xfId="1" applyFont="1" applyFill="1" applyBorder="1" applyProtection="1"/>
    <xf numFmtId="0" fontId="6" fillId="0" borderId="45" xfId="1" applyFont="1" applyFill="1" applyBorder="1" applyProtection="1"/>
    <xf numFmtId="0" fontId="6" fillId="0" borderId="45" xfId="1" applyFont="1" applyFill="1" applyBorder="1" applyAlignment="1" applyProtection="1">
      <alignment horizontal="center" vertical="top"/>
    </xf>
    <xf numFmtId="3" fontId="10" fillId="0" borderId="45" xfId="0" applyNumberFormat="1" applyFont="1" applyFill="1" applyBorder="1" applyAlignment="1" applyProtection="1"/>
    <xf numFmtId="0" fontId="6" fillId="0" borderId="45" xfId="1" applyFont="1" applyFill="1" applyBorder="1" applyAlignment="1" applyProtection="1">
      <alignment shrinkToFit="1"/>
    </xf>
    <xf numFmtId="3" fontId="6" fillId="0" borderId="45" xfId="0" applyNumberFormat="1" applyFont="1" applyFill="1" applyBorder="1" applyAlignment="1" applyProtection="1"/>
    <xf numFmtId="0" fontId="6" fillId="0" borderId="45" xfId="1" applyFont="1" applyFill="1" applyBorder="1" applyAlignment="1" applyProtection="1">
      <alignment horizontal="left"/>
    </xf>
    <xf numFmtId="0" fontId="10" fillId="0" borderId="45" xfId="0" applyFont="1" applyFill="1" applyBorder="1" applyAlignment="1" applyProtection="1">
      <alignment vertical="top"/>
    </xf>
    <xf numFmtId="3" fontId="6" fillId="0" borderId="45" xfId="1" applyNumberFormat="1" applyFont="1" applyFill="1" applyBorder="1" applyAlignment="1" applyProtection="1">
      <alignment vertical="center"/>
    </xf>
    <xf numFmtId="0" fontId="6" fillId="0" borderId="48" xfId="1" applyFont="1" applyFill="1" applyBorder="1" applyProtection="1"/>
    <xf numFmtId="0" fontId="6" fillId="0" borderId="49" xfId="1" applyFont="1" applyFill="1" applyBorder="1" applyProtection="1"/>
    <xf numFmtId="0" fontId="10" fillId="0" borderId="52" xfId="1" applyFont="1" applyFill="1" applyBorder="1" applyProtection="1"/>
    <xf numFmtId="3" fontId="10" fillId="0" borderId="51" xfId="0" applyNumberFormat="1" applyFont="1" applyFill="1" applyBorder="1" applyAlignment="1" applyProtection="1"/>
    <xf numFmtId="0" fontId="6" fillId="0" borderId="44" xfId="1" applyFont="1" applyFill="1" applyBorder="1" applyAlignment="1" applyProtection="1">
      <alignment vertical="center"/>
    </xf>
    <xf numFmtId="0" fontId="10" fillId="0" borderId="46" xfId="1" applyFont="1" applyFill="1" applyBorder="1" applyAlignment="1" applyProtection="1">
      <alignment vertical="center"/>
    </xf>
    <xf numFmtId="0" fontId="7" fillId="0" borderId="44" xfId="1" applyFont="1" applyFill="1" applyBorder="1" applyAlignment="1" applyProtection="1">
      <alignment horizontal="left" vertical="center"/>
    </xf>
    <xf numFmtId="0" fontId="7" fillId="0" borderId="45" xfId="1" applyFont="1" applyFill="1" applyBorder="1" applyAlignment="1" applyProtection="1">
      <alignment vertical="top"/>
    </xf>
    <xf numFmtId="0" fontId="7" fillId="0" borderId="45" xfId="1" applyFont="1" applyFill="1" applyBorder="1" applyAlignment="1" applyProtection="1">
      <alignment horizontal="left" vertical="center"/>
    </xf>
    <xf numFmtId="3" fontId="7" fillId="0" borderId="45" xfId="0" applyNumberFormat="1" applyFont="1" applyFill="1" applyBorder="1" applyAlignment="1" applyProtection="1">
      <alignment horizontal="right" vertical="center"/>
    </xf>
    <xf numFmtId="3" fontId="7" fillId="0" borderId="47" xfId="0" applyNumberFormat="1" applyFont="1" applyFill="1" applyBorder="1" applyAlignment="1" applyProtection="1">
      <alignment horizontal="right" vertical="center"/>
    </xf>
    <xf numFmtId="0" fontId="7" fillId="0" borderId="47" xfId="1" applyFont="1" applyFill="1" applyBorder="1" applyAlignment="1" applyProtection="1">
      <alignment vertical="top"/>
    </xf>
    <xf numFmtId="0" fontId="7" fillId="0" borderId="47" xfId="1" applyFont="1" applyFill="1" applyBorder="1" applyAlignment="1" applyProtection="1">
      <alignment vertical="center"/>
    </xf>
    <xf numFmtId="0" fontId="7" fillId="0" borderId="46" xfId="1" applyFont="1" applyFill="1" applyBorder="1" applyAlignment="1" applyProtection="1">
      <alignment vertical="center"/>
    </xf>
    <xf numFmtId="165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59" xfId="1" applyFont="1" applyFill="1" applyBorder="1" applyAlignment="1" applyProtection="1">
      <alignment vertical="top"/>
    </xf>
    <xf numFmtId="0" fontId="10" fillId="0" borderId="60" xfId="1" applyFont="1" applyFill="1" applyBorder="1" applyAlignment="1" applyProtection="1">
      <alignment vertical="top"/>
    </xf>
    <xf numFmtId="0" fontId="6" fillId="0" borderId="60" xfId="1" applyFont="1" applyFill="1" applyBorder="1" applyAlignment="1" applyProtection="1">
      <alignment vertical="top"/>
    </xf>
    <xf numFmtId="0" fontId="10" fillId="0" borderId="61" xfId="1" applyFont="1" applyFill="1" applyBorder="1" applyAlignment="1" applyProtection="1">
      <alignment vertical="top"/>
    </xf>
    <xf numFmtId="0" fontId="10" fillId="0" borderId="64" xfId="1" applyFont="1" applyFill="1" applyBorder="1" applyAlignment="1" applyProtection="1">
      <alignment horizontal="left" vertical="center"/>
    </xf>
    <xf numFmtId="0" fontId="10" fillId="0" borderId="58" xfId="1" applyFont="1" applyFill="1" applyBorder="1" applyAlignment="1" applyProtection="1">
      <alignment horizontal="left" vertical="center"/>
    </xf>
    <xf numFmtId="49" fontId="10" fillId="0" borderId="64" xfId="1" applyNumberFormat="1" applyFont="1" applyFill="1" applyBorder="1" applyAlignment="1" applyProtection="1">
      <alignment horizontal="left" vertical="center"/>
    </xf>
    <xf numFmtId="0" fontId="6" fillId="0" borderId="58" xfId="2" applyFont="1" applyFill="1" applyBorder="1" applyAlignment="1" applyProtection="1">
      <alignment horizontal="left" vertical="center" wrapText="1"/>
    </xf>
    <xf numFmtId="49" fontId="6" fillId="0" borderId="58" xfId="2" applyNumberFormat="1" applyFont="1" applyFill="1" applyBorder="1" applyAlignment="1" applyProtection="1">
      <alignment horizontal="left" vertical="center" wrapText="1"/>
    </xf>
    <xf numFmtId="0" fontId="10" fillId="0" borderId="64" xfId="1" applyFont="1" applyFill="1" applyBorder="1" applyProtection="1"/>
    <xf numFmtId="0" fontId="6" fillId="0" borderId="58" xfId="1" applyFont="1" applyFill="1" applyBorder="1" applyAlignment="1" applyProtection="1">
      <alignment horizontal="left" vertical="center" shrinkToFit="1"/>
    </xf>
    <xf numFmtId="0" fontId="7" fillId="0" borderId="64" xfId="1" applyFont="1" applyFill="1" applyBorder="1" applyAlignment="1" applyProtection="1">
      <alignment horizontal="left" vertical="center"/>
    </xf>
    <xf numFmtId="0" fontId="7" fillId="0" borderId="58" xfId="1" applyFont="1" applyFill="1" applyBorder="1" applyAlignment="1" applyProtection="1">
      <alignment vertical="top"/>
    </xf>
    <xf numFmtId="0" fontId="7" fillId="0" borderId="58" xfId="1" applyFont="1" applyFill="1" applyBorder="1" applyAlignment="1" applyProtection="1">
      <alignment vertical="center"/>
    </xf>
    <xf numFmtId="0" fontId="10" fillId="0" borderId="58" xfId="1" applyFont="1" applyFill="1" applyBorder="1" applyAlignment="1" applyProtection="1">
      <alignment vertical="top"/>
    </xf>
    <xf numFmtId="0" fontId="10" fillId="0" borderId="58" xfId="1" applyFont="1" applyFill="1" applyBorder="1" applyProtection="1"/>
    <xf numFmtId="49" fontId="10" fillId="0" borderId="64" xfId="1" applyNumberFormat="1" applyFont="1" applyFill="1" applyBorder="1" applyProtection="1"/>
    <xf numFmtId="0" fontId="6" fillId="0" borderId="64" xfId="1" applyFont="1" applyFill="1" applyBorder="1" applyProtection="1"/>
    <xf numFmtId="0" fontId="6" fillId="0" borderId="58" xfId="1" applyFont="1" applyFill="1" applyBorder="1" applyAlignment="1" applyProtection="1">
      <alignment vertical="top"/>
    </xf>
    <xf numFmtId="0" fontId="6" fillId="0" borderId="58" xfId="2" applyFont="1" applyFill="1" applyBorder="1" applyAlignment="1" applyProtection="1">
      <alignment wrapText="1"/>
    </xf>
    <xf numFmtId="49" fontId="6" fillId="0" borderId="58" xfId="2" applyNumberFormat="1" applyFont="1" applyFill="1" applyBorder="1" applyAlignment="1" applyProtection="1">
      <alignment vertical="center" wrapText="1"/>
    </xf>
    <xf numFmtId="0" fontId="6" fillId="0" borderId="64" xfId="1" applyFont="1" applyFill="1" applyBorder="1" applyAlignment="1" applyProtection="1">
      <alignment horizontal="center" vertical="center"/>
    </xf>
    <xf numFmtId="0" fontId="6" fillId="0" borderId="58" xfId="1" applyFont="1" applyFill="1" applyBorder="1" applyAlignment="1" applyProtection="1">
      <alignment horizontal="center" vertical="top"/>
    </xf>
    <xf numFmtId="0" fontId="6" fillId="0" borderId="58" xfId="1" applyFont="1" applyFill="1" applyBorder="1" applyAlignment="1" applyProtection="1">
      <alignment horizontal="left"/>
    </xf>
    <xf numFmtId="0" fontId="6" fillId="0" borderId="58" xfId="1" applyFont="1" applyFill="1" applyBorder="1" applyAlignment="1" applyProtection="1">
      <alignment horizontal="left" shrinkToFit="1"/>
    </xf>
    <xf numFmtId="0" fontId="7" fillId="0" borderId="66" xfId="1" applyFont="1" applyFill="1" applyBorder="1" applyAlignment="1" applyProtection="1">
      <alignment vertical="top"/>
    </xf>
    <xf numFmtId="0" fontId="7" fillId="0" borderId="66" xfId="1" applyFont="1" applyFill="1" applyBorder="1" applyAlignment="1" applyProtection="1">
      <alignment vertical="center"/>
    </xf>
    <xf numFmtId="0" fontId="6" fillId="0" borderId="58" xfId="1" applyFont="1" applyFill="1" applyBorder="1" applyAlignment="1" applyProtection="1">
      <alignment vertical="center"/>
    </xf>
    <xf numFmtId="0" fontId="7" fillId="0" borderId="66" xfId="1" applyFont="1" applyFill="1" applyBorder="1" applyAlignment="1" applyProtection="1">
      <alignment horizontal="center" vertical="top"/>
    </xf>
    <xf numFmtId="0" fontId="7" fillId="0" borderId="66" xfId="1" applyFont="1" applyFill="1" applyBorder="1" applyAlignment="1" applyProtection="1">
      <alignment horizontal="center" vertical="center"/>
    </xf>
    <xf numFmtId="0" fontId="7" fillId="0" borderId="4" xfId="0" applyFont="1" applyFill="1" applyBorder="1"/>
    <xf numFmtId="3" fontId="7" fillId="0" borderId="25" xfId="0" applyNumberFormat="1" applyFont="1" applyFill="1" applyBorder="1" applyAlignment="1">
      <alignment horizontal="center" vertical="center"/>
    </xf>
    <xf numFmtId="3" fontId="7" fillId="0" borderId="23" xfId="0" applyNumberFormat="1" applyFont="1" applyFill="1" applyBorder="1" applyAlignment="1">
      <alignment horizontal="center" vertical="center"/>
    </xf>
    <xf numFmtId="3" fontId="7" fillId="0" borderId="37" xfId="0" applyNumberFormat="1" applyFont="1" applyFill="1" applyBorder="1" applyAlignment="1">
      <alignment horizontal="center" vertical="center"/>
    </xf>
    <xf numFmtId="3" fontId="7" fillId="0" borderId="28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8" fillId="0" borderId="2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3" fontId="7" fillId="0" borderId="25" xfId="0" applyNumberFormat="1" applyFont="1" applyFill="1" applyBorder="1" applyAlignment="1">
      <alignment horizontal="left" vertical="center"/>
    </xf>
    <xf numFmtId="3" fontId="7" fillId="0" borderId="23" xfId="0" applyNumberFormat="1" applyFont="1" applyFill="1" applyBorder="1" applyAlignment="1">
      <alignment horizontal="left" vertical="center"/>
    </xf>
    <xf numFmtId="3" fontId="7" fillId="0" borderId="37" xfId="0" applyNumberFormat="1" applyFont="1" applyFill="1" applyBorder="1" applyAlignment="1">
      <alignment horizontal="left" vertical="center"/>
    </xf>
    <xf numFmtId="3" fontId="7" fillId="0" borderId="24" xfId="0" applyNumberFormat="1" applyFont="1" applyFill="1" applyBorder="1" applyAlignment="1">
      <alignment horizontal="left" vertical="center"/>
    </xf>
    <xf numFmtId="3" fontId="7" fillId="0" borderId="4" xfId="0" applyNumberFormat="1" applyFont="1" applyFill="1" applyBorder="1" applyAlignment="1">
      <alignment horizontal="left" vertical="center"/>
    </xf>
    <xf numFmtId="3" fontId="7" fillId="0" borderId="28" xfId="0" applyNumberFormat="1" applyFont="1" applyFill="1" applyBorder="1" applyAlignment="1">
      <alignment horizontal="left" vertical="center"/>
    </xf>
    <xf numFmtId="3" fontId="7" fillId="0" borderId="33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/>
    </xf>
    <xf numFmtId="3" fontId="7" fillId="0" borderId="5" xfId="0" applyNumberFormat="1" applyFont="1" applyFill="1" applyBorder="1" applyAlignment="1">
      <alignment horizontal="right" vertical="center"/>
    </xf>
    <xf numFmtId="0" fontId="8" fillId="0" borderId="29" xfId="0" applyFont="1" applyFill="1" applyBorder="1" applyAlignment="1">
      <alignment wrapText="1"/>
    </xf>
    <xf numFmtId="3" fontId="8" fillId="0" borderId="24" xfId="0" applyNumberFormat="1" applyFont="1" applyFill="1" applyBorder="1" applyAlignment="1">
      <alignment horizontal="right" vertical="center"/>
    </xf>
    <xf numFmtId="3" fontId="8" fillId="0" borderId="4" xfId="0" applyNumberFormat="1" applyFont="1" applyFill="1" applyBorder="1" applyAlignment="1">
      <alignment wrapText="1"/>
    </xf>
    <xf numFmtId="3" fontId="8" fillId="0" borderId="4" xfId="0" applyNumberFormat="1" applyFont="1" applyFill="1" applyBorder="1"/>
    <xf numFmtId="0" fontId="7" fillId="0" borderId="30" xfId="4" applyFont="1" applyFill="1" applyBorder="1" applyAlignment="1">
      <alignment horizontal="left" vertical="center" wrapText="1"/>
    </xf>
    <xf numFmtId="3" fontId="7" fillId="0" borderId="27" xfId="0" applyNumberFormat="1" applyFont="1" applyFill="1" applyBorder="1" applyAlignment="1">
      <alignment horizontal="left" vertical="center"/>
    </xf>
    <xf numFmtId="3" fontId="8" fillId="0" borderId="3" xfId="0" applyNumberFormat="1" applyFont="1" applyFill="1" applyBorder="1" applyAlignment="1">
      <alignment horizontal="right" wrapText="1"/>
    </xf>
    <xf numFmtId="3" fontId="8" fillId="0" borderId="4" xfId="0" applyNumberFormat="1" applyFont="1" applyFill="1" applyBorder="1" applyAlignment="1">
      <alignment horizontal="right" wrapText="1"/>
    </xf>
    <xf numFmtId="3" fontId="8" fillId="0" borderId="4" xfId="0" applyNumberFormat="1" applyFont="1" applyFill="1" applyBorder="1" applyAlignment="1">
      <alignment horizontal="right"/>
    </xf>
    <xf numFmtId="3" fontId="8" fillId="0" borderId="24" xfId="0" applyNumberFormat="1" applyFont="1" applyFill="1" applyBorder="1" applyAlignment="1">
      <alignment horizontal="right" wrapText="1"/>
    </xf>
    <xf numFmtId="0" fontId="8" fillId="0" borderId="4" xfId="0" applyFont="1" applyFill="1" applyBorder="1"/>
    <xf numFmtId="3" fontId="8" fillId="0" borderId="28" xfId="0" applyNumberFormat="1" applyFont="1" applyFill="1" applyBorder="1" applyAlignment="1">
      <alignment horizontal="right" wrapText="1"/>
    </xf>
    <xf numFmtId="3" fontId="8" fillId="0" borderId="23" xfId="0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right" vertical="center"/>
    </xf>
    <xf numFmtId="3" fontId="7" fillId="0" borderId="4" xfId="0" applyNumberFormat="1" applyFont="1" applyFill="1" applyBorder="1" applyAlignment="1">
      <alignment horizontal="right" vertical="center"/>
    </xf>
    <xf numFmtId="3" fontId="8" fillId="0" borderId="24" xfId="0" applyNumberFormat="1" applyFont="1" applyFill="1" applyBorder="1" applyAlignment="1">
      <alignment horizontal="right"/>
    </xf>
    <xf numFmtId="3" fontId="7" fillId="0" borderId="28" xfId="0" applyNumberFormat="1" applyFont="1" applyFill="1" applyBorder="1" applyAlignment="1">
      <alignment horizontal="right" vertical="center"/>
    </xf>
    <xf numFmtId="3" fontId="7" fillId="0" borderId="23" xfId="0" applyNumberFormat="1" applyFont="1" applyFill="1" applyBorder="1" applyAlignment="1">
      <alignment horizontal="right" vertical="center"/>
    </xf>
    <xf numFmtId="3" fontId="8" fillId="0" borderId="32" xfId="0" applyNumberFormat="1" applyFont="1" applyFill="1" applyBorder="1" applyAlignment="1">
      <alignment horizontal="right"/>
    </xf>
    <xf numFmtId="3" fontId="8" fillId="0" borderId="28" xfId="0" applyNumberFormat="1" applyFont="1" applyFill="1" applyBorder="1" applyAlignment="1">
      <alignment horizontal="right"/>
    </xf>
    <xf numFmtId="0" fontId="7" fillId="0" borderId="31" xfId="4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vertical="center" wrapText="1"/>
    </xf>
    <xf numFmtId="3" fontId="7" fillId="0" borderId="23" xfId="0" applyNumberFormat="1" applyFont="1" applyFill="1" applyBorder="1" applyAlignment="1">
      <alignment horizontal="left" vertical="center" wrapText="1"/>
    </xf>
    <xf numFmtId="3" fontId="7" fillId="0" borderId="37" xfId="0" applyNumberFormat="1" applyFont="1" applyFill="1" applyBorder="1" applyAlignment="1">
      <alignment horizontal="left" vertical="center" wrapText="1"/>
    </xf>
    <xf numFmtId="3" fontId="7" fillId="0" borderId="32" xfId="0" applyNumberFormat="1" applyFont="1" applyFill="1" applyBorder="1" applyAlignment="1">
      <alignment horizontal="left" vertical="center"/>
    </xf>
    <xf numFmtId="3" fontId="8" fillId="0" borderId="4" xfId="0" applyNumberFormat="1" applyFont="1" applyFill="1" applyBorder="1" applyAlignment="1"/>
    <xf numFmtId="0" fontId="8" fillId="0" borderId="4" xfId="0" applyFont="1" applyFill="1" applyBorder="1" applyAlignment="1"/>
    <xf numFmtId="0" fontId="8" fillId="0" borderId="31" xfId="0" applyFont="1" applyFill="1" applyBorder="1" applyAlignment="1">
      <alignment wrapText="1"/>
    </xf>
    <xf numFmtId="3" fontId="8" fillId="0" borderId="25" xfId="0" applyNumberFormat="1" applyFont="1" applyFill="1" applyBorder="1" applyAlignment="1">
      <alignment horizontal="right" wrapText="1"/>
    </xf>
    <xf numFmtId="3" fontId="8" fillId="0" borderId="23" xfId="0" applyNumberFormat="1" applyFont="1" applyFill="1" applyBorder="1" applyAlignment="1"/>
    <xf numFmtId="3" fontId="7" fillId="0" borderId="26" xfId="0" applyNumberFormat="1" applyFont="1" applyFill="1" applyBorder="1" applyAlignment="1">
      <alignment horizontal="left" vertical="center" wrapText="1"/>
    </xf>
    <xf numFmtId="3" fontId="7" fillId="0" borderId="34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/>
    </xf>
    <xf numFmtId="3" fontId="8" fillId="0" borderId="25" xfId="0" applyNumberFormat="1" applyFont="1" applyFill="1" applyBorder="1" applyAlignment="1">
      <alignment horizontal="right" vertical="center" wrapText="1"/>
    </xf>
    <xf numFmtId="3" fontId="8" fillId="0" borderId="23" xfId="0" applyNumberFormat="1" applyFont="1" applyFill="1" applyBorder="1" applyAlignment="1">
      <alignment horizontal="right" vertical="center" wrapText="1"/>
    </xf>
    <xf numFmtId="0" fontId="7" fillId="0" borderId="30" xfId="0" applyFont="1" applyFill="1" applyBorder="1" applyAlignment="1" applyProtection="1">
      <alignment horizontal="left" vertical="center" wrapText="1"/>
    </xf>
    <xf numFmtId="3" fontId="7" fillId="0" borderId="26" xfId="0" applyNumberFormat="1" applyFont="1" applyFill="1" applyBorder="1" applyAlignment="1">
      <alignment horizontal="left" vertical="center"/>
    </xf>
    <xf numFmtId="3" fontId="7" fillId="0" borderId="38" xfId="0" applyNumberFormat="1" applyFont="1" applyFill="1" applyBorder="1" applyAlignment="1">
      <alignment horizontal="left" vertical="center"/>
    </xf>
    <xf numFmtId="3" fontId="7" fillId="0" borderId="34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vertical="center" wrapText="1"/>
    </xf>
    <xf numFmtId="3" fontId="7" fillId="0" borderId="38" xfId="0" applyNumberFormat="1" applyFont="1" applyFill="1" applyBorder="1" applyAlignment="1">
      <alignment horizontal="left" vertical="center" wrapText="1"/>
    </xf>
    <xf numFmtId="3" fontId="13" fillId="0" borderId="25" xfId="0" applyNumberFormat="1" applyFont="1" applyFill="1" applyBorder="1" applyAlignment="1">
      <alignment horizontal="right" wrapText="1"/>
    </xf>
    <xf numFmtId="3" fontId="13" fillId="0" borderId="23" xfId="0" applyNumberFormat="1" applyFont="1" applyFill="1" applyBorder="1" applyAlignment="1">
      <alignment horizontal="right" wrapText="1"/>
    </xf>
    <xf numFmtId="3" fontId="7" fillId="0" borderId="25" xfId="0" applyNumberFormat="1" applyFont="1" applyFill="1" applyBorder="1" applyAlignment="1">
      <alignment horizontal="left" vertical="center" wrapText="1"/>
    </xf>
    <xf numFmtId="3" fontId="7" fillId="0" borderId="28" xfId="0" applyNumberFormat="1" applyFont="1" applyFill="1" applyBorder="1" applyAlignment="1">
      <alignment horizontal="left" vertical="center" wrapText="1"/>
    </xf>
    <xf numFmtId="3" fontId="7" fillId="0" borderId="53" xfId="0" applyNumberFormat="1" applyFont="1" applyFill="1" applyBorder="1" applyAlignment="1">
      <alignment horizontal="left" vertical="center"/>
    </xf>
    <xf numFmtId="0" fontId="8" fillId="0" borderId="54" xfId="0" applyFont="1" applyFill="1" applyBorder="1" applyAlignment="1">
      <alignment wrapText="1"/>
    </xf>
    <xf numFmtId="3" fontId="7" fillId="0" borderId="55" xfId="0" applyNumberFormat="1" applyFont="1" applyFill="1" applyBorder="1" applyAlignment="1">
      <alignment horizontal="left" vertical="center" wrapText="1"/>
    </xf>
    <xf numFmtId="3" fontId="7" fillId="0" borderId="21" xfId="0" applyNumberFormat="1" applyFont="1" applyFill="1" applyBorder="1" applyAlignment="1">
      <alignment horizontal="left" vertical="center" wrapText="1"/>
    </xf>
    <xf numFmtId="3" fontId="7" fillId="0" borderId="19" xfId="0" applyNumberFormat="1" applyFont="1" applyFill="1" applyBorder="1" applyAlignment="1">
      <alignment horizontal="left" vertical="center" wrapText="1"/>
    </xf>
    <xf numFmtId="3" fontId="7" fillId="0" borderId="56" xfId="0" applyNumberFormat="1" applyFont="1" applyFill="1" applyBorder="1" applyAlignment="1">
      <alignment horizontal="left" vertical="center" wrapText="1"/>
    </xf>
    <xf numFmtId="3" fontId="7" fillId="0" borderId="57" xfId="0" applyNumberFormat="1" applyFont="1" applyFill="1" applyBorder="1" applyAlignment="1">
      <alignment horizontal="left" vertical="center"/>
    </xf>
    <xf numFmtId="0" fontId="8" fillId="0" borderId="23" xfId="0" applyFont="1" applyFill="1" applyBorder="1" applyAlignment="1">
      <alignment wrapText="1"/>
    </xf>
    <xf numFmtId="3" fontId="7" fillId="0" borderId="23" xfId="0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3" fontId="13" fillId="0" borderId="3" xfId="0" applyNumberFormat="1" applyFont="1" applyFill="1" applyBorder="1" applyAlignment="1">
      <alignment horizontal="right" wrapText="1"/>
    </xf>
    <xf numFmtId="3" fontId="13" fillId="0" borderId="4" xfId="0" applyNumberFormat="1" applyFont="1" applyFill="1" applyBorder="1" applyAlignment="1">
      <alignment horizontal="right" wrapText="1"/>
    </xf>
    <xf numFmtId="3" fontId="7" fillId="0" borderId="27" xfId="0" applyNumberFormat="1" applyFont="1" applyFill="1" applyBorder="1" applyAlignment="1">
      <alignment horizontal="left" vertical="center" wrapText="1"/>
    </xf>
    <xf numFmtId="0" fontId="6" fillId="2" borderId="44" xfId="1" applyFont="1" applyFill="1" applyBorder="1" applyAlignment="1" applyProtection="1">
      <alignment horizontal="left" vertical="center"/>
    </xf>
    <xf numFmtId="0" fontId="6" fillId="2" borderId="45" xfId="1" applyFont="1" applyFill="1" applyBorder="1" applyAlignment="1" applyProtection="1">
      <alignment horizontal="left" vertical="center"/>
    </xf>
    <xf numFmtId="0" fontId="6" fillId="2" borderId="45" xfId="1" applyFont="1" applyFill="1" applyBorder="1" applyAlignment="1" applyProtection="1">
      <alignment horizontal="center" vertical="center"/>
    </xf>
    <xf numFmtId="49" fontId="10" fillId="2" borderId="44" xfId="1" applyNumberFormat="1" applyFont="1" applyFill="1" applyBorder="1" applyProtection="1"/>
    <xf numFmtId="0" fontId="10" fillId="2" borderId="45" xfId="1" applyFont="1" applyFill="1" applyBorder="1" applyAlignment="1" applyProtection="1">
      <alignment vertical="top"/>
    </xf>
    <xf numFmtId="0" fontId="10" fillId="2" borderId="45" xfId="1" applyFont="1" applyFill="1" applyBorder="1" applyProtection="1"/>
    <xf numFmtId="3" fontId="10" fillId="2" borderId="45" xfId="0" applyNumberFormat="1" applyFont="1" applyFill="1" applyBorder="1" applyAlignment="1" applyProtection="1">
      <alignment horizontal="right"/>
    </xf>
    <xf numFmtId="0" fontId="6" fillId="2" borderId="44" xfId="1" applyFont="1" applyFill="1" applyBorder="1" applyProtection="1"/>
    <xf numFmtId="0" fontId="6" fillId="2" borderId="45" xfId="1" applyFont="1" applyFill="1" applyBorder="1" applyAlignment="1" applyProtection="1">
      <alignment vertical="top"/>
    </xf>
    <xf numFmtId="0" fontId="6" fillId="2" borderId="45" xfId="1" applyFont="1" applyFill="1" applyBorder="1" applyProtection="1"/>
    <xf numFmtId="3" fontId="6" fillId="2" borderId="45" xfId="0" applyNumberFormat="1" applyFont="1" applyFill="1" applyBorder="1" applyAlignment="1" applyProtection="1">
      <alignment horizontal="right"/>
    </xf>
    <xf numFmtId="0" fontId="6" fillId="2" borderId="49" xfId="1" applyFont="1" applyFill="1" applyBorder="1" applyAlignment="1" applyProtection="1">
      <alignment vertical="top"/>
    </xf>
    <xf numFmtId="3" fontId="7" fillId="0" borderId="37" xfId="0" applyNumberFormat="1" applyFont="1" applyFill="1" applyBorder="1" applyAlignment="1">
      <alignment horizontal="right" vertical="center"/>
    </xf>
    <xf numFmtId="3" fontId="8" fillId="0" borderId="4" xfId="0" applyNumberFormat="1" applyFont="1" applyFill="1" applyBorder="1" applyAlignment="1">
      <alignment horizontal="left"/>
    </xf>
    <xf numFmtId="3" fontId="8" fillId="0" borderId="23" xfId="0" applyNumberFormat="1" applyFont="1" applyFill="1" applyBorder="1" applyAlignment="1">
      <alignment horizontal="right" vertical="center"/>
    </xf>
    <xf numFmtId="3" fontId="8" fillId="0" borderId="28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3" fontId="8" fillId="0" borderId="3" xfId="0" applyNumberFormat="1" applyFont="1" applyFill="1" applyBorder="1" applyAlignment="1">
      <alignment horizontal="right" vertical="center"/>
    </xf>
    <xf numFmtId="49" fontId="11" fillId="0" borderId="58" xfId="2" applyNumberFormat="1" applyFont="1" applyFill="1" applyBorder="1" applyAlignment="1" applyProtection="1">
      <alignment horizontal="left" vertical="center" wrapText="1"/>
    </xf>
    <xf numFmtId="0" fontId="11" fillId="0" borderId="58" xfId="1" applyFont="1" applyFill="1" applyBorder="1" applyAlignment="1" applyProtection="1">
      <alignment horizontal="left" vertical="center"/>
    </xf>
    <xf numFmtId="0" fontId="11" fillId="0" borderId="45" xfId="1" applyFont="1" applyFill="1" applyBorder="1" applyAlignment="1" applyProtection="1">
      <alignment horizontal="left" vertical="center"/>
    </xf>
    <xf numFmtId="3" fontId="11" fillId="0" borderId="45" xfId="1" applyNumberFormat="1" applyFont="1" applyFill="1" applyBorder="1" applyAlignment="1" applyProtection="1">
      <alignment horizontal="right" vertical="center"/>
    </xf>
    <xf numFmtId="3" fontId="11" fillId="0" borderId="45" xfId="0" applyNumberFormat="1" applyFont="1" applyFill="1" applyBorder="1" applyAlignment="1" applyProtection="1">
      <alignment horizontal="right" vertical="center"/>
    </xf>
    <xf numFmtId="0" fontId="11" fillId="0" borderId="45" xfId="1" applyFont="1" applyFill="1" applyBorder="1" applyAlignment="1" applyProtection="1">
      <alignment horizontal="left" vertical="center" wrapText="1"/>
    </xf>
    <xf numFmtId="3" fontId="11" fillId="0" borderId="45" xfId="1" applyNumberFormat="1" applyFont="1" applyFill="1" applyBorder="1" applyAlignment="1" applyProtection="1">
      <alignment vertical="center"/>
    </xf>
    <xf numFmtId="0" fontId="11" fillId="0" borderId="45" xfId="1" applyFont="1" applyFill="1" applyBorder="1" applyAlignment="1" applyProtection="1">
      <alignment horizontal="left" vertical="center" shrinkToFit="1"/>
    </xf>
    <xf numFmtId="49" fontId="11" fillId="0" borderId="58" xfId="2" applyNumberFormat="1" applyFont="1" applyFill="1" applyBorder="1" applyAlignment="1" applyProtection="1">
      <alignment vertical="center" wrapText="1"/>
    </xf>
    <xf numFmtId="0" fontId="11" fillId="0" borderId="58" xfId="1" applyFont="1" applyFill="1" applyBorder="1" applyAlignment="1" applyProtection="1">
      <alignment horizontal="left"/>
    </xf>
    <xf numFmtId="0" fontId="6" fillId="0" borderId="49" xfId="1" applyFont="1" applyFill="1" applyBorder="1" applyAlignment="1" applyProtection="1">
      <alignment horizontal="center" vertical="top"/>
    </xf>
    <xf numFmtId="0" fontId="6" fillId="0" borderId="51" xfId="1" applyFont="1" applyFill="1" applyBorder="1" applyAlignment="1" applyProtection="1">
      <alignment horizontal="center" vertical="top"/>
    </xf>
    <xf numFmtId="0" fontId="6" fillId="0" borderId="45" xfId="0" applyFont="1" applyFill="1" applyBorder="1" applyAlignment="1" applyProtection="1">
      <alignment horizontal="center" vertical="top"/>
    </xf>
    <xf numFmtId="0" fontId="6" fillId="0" borderId="51" xfId="1" applyFont="1" applyFill="1" applyBorder="1" applyAlignment="1" applyProtection="1">
      <alignment horizontal="center" vertical="center"/>
    </xf>
    <xf numFmtId="0" fontId="6" fillId="0" borderId="58" xfId="1" applyFont="1" applyFill="1" applyBorder="1" applyAlignment="1" applyProtection="1">
      <alignment horizontal="center" vertical="center"/>
    </xf>
    <xf numFmtId="0" fontId="6" fillId="0" borderId="45" xfId="0" applyFont="1" applyFill="1" applyBorder="1" applyAlignment="1" applyProtection="1">
      <alignment horizontal="center" vertical="center"/>
    </xf>
    <xf numFmtId="3" fontId="0" fillId="0" borderId="0" xfId="0" applyNumberFormat="1"/>
    <xf numFmtId="0" fontId="8" fillId="0" borderId="24" xfId="0" applyFont="1" applyFill="1" applyBorder="1" applyAlignment="1">
      <alignment horizontal="left"/>
    </xf>
    <xf numFmtId="3" fontId="8" fillId="0" borderId="24" xfId="0" applyNumberFormat="1" applyFont="1" applyFill="1" applyBorder="1" applyAlignment="1">
      <alignment wrapText="1"/>
    </xf>
    <xf numFmtId="0" fontId="7" fillId="0" borderId="74" xfId="4" applyFont="1" applyFill="1" applyBorder="1" applyAlignment="1">
      <alignment horizontal="left" vertical="center" wrapText="1"/>
    </xf>
    <xf numFmtId="3" fontId="7" fillId="0" borderId="2" xfId="4" applyNumberFormat="1" applyFont="1" applyFill="1" applyBorder="1" applyAlignment="1">
      <alignment horizontal="left" vertical="center" wrapText="1"/>
    </xf>
    <xf numFmtId="3" fontId="7" fillId="0" borderId="75" xfId="4" applyNumberFormat="1" applyFont="1" applyFill="1" applyBorder="1" applyAlignment="1">
      <alignment horizontal="left" vertical="center" wrapText="1"/>
    </xf>
    <xf numFmtId="3" fontId="7" fillId="0" borderId="71" xfId="4" applyNumberFormat="1" applyFont="1" applyFill="1" applyBorder="1" applyAlignment="1">
      <alignment horizontal="left" vertical="center" wrapText="1"/>
    </xf>
    <xf numFmtId="0" fontId="8" fillId="0" borderId="76" xfId="0" applyFont="1" applyFill="1" applyBorder="1" applyAlignment="1">
      <alignment wrapText="1"/>
    </xf>
    <xf numFmtId="0" fontId="8" fillId="0" borderId="77" xfId="0" applyFont="1" applyFill="1" applyBorder="1" applyAlignment="1">
      <alignment wrapText="1"/>
    </xf>
    <xf numFmtId="3" fontId="8" fillId="0" borderId="56" xfId="0" applyNumberFormat="1" applyFont="1" applyFill="1" applyBorder="1" applyAlignment="1">
      <alignment horizontal="right" wrapText="1"/>
    </xf>
    <xf numFmtId="3" fontId="8" fillId="0" borderId="21" xfId="0" applyNumberFormat="1" applyFont="1" applyFill="1" applyBorder="1" applyAlignment="1">
      <alignment horizontal="right"/>
    </xf>
    <xf numFmtId="3" fontId="7" fillId="0" borderId="73" xfId="0" applyNumberFormat="1" applyFont="1" applyFill="1" applyBorder="1" applyAlignment="1">
      <alignment horizontal="right" vertical="center"/>
    </xf>
    <xf numFmtId="0" fontId="7" fillId="0" borderId="24" xfId="0" applyFont="1" applyFill="1" applyBorder="1"/>
    <xf numFmtId="0" fontId="7" fillId="0" borderId="24" xfId="0" applyFont="1" applyFill="1" applyBorder="1" applyAlignment="1">
      <alignment wrapText="1"/>
    </xf>
    <xf numFmtId="3" fontId="7" fillId="0" borderId="24" xfId="0" applyNumberFormat="1" applyFont="1" applyFill="1" applyBorder="1" applyAlignment="1">
      <alignment horizontal="left" wrapText="1"/>
    </xf>
    <xf numFmtId="0" fontId="8" fillId="0" borderId="74" xfId="0" applyFont="1" applyFill="1" applyBorder="1" applyAlignment="1">
      <alignment horizontal="center" vertical="center" wrapText="1"/>
    </xf>
    <xf numFmtId="0" fontId="8" fillId="0" borderId="78" xfId="0" applyFont="1" applyFill="1" applyBorder="1" applyAlignment="1">
      <alignment horizontal="center" vertical="center" wrapText="1"/>
    </xf>
    <xf numFmtId="0" fontId="8" fillId="0" borderId="76" xfId="0" applyFont="1" applyFill="1" applyBorder="1" applyAlignment="1">
      <alignment horizontal="center" vertical="center" wrapText="1"/>
    </xf>
    <xf numFmtId="0" fontId="7" fillId="0" borderId="79" xfId="0" applyFont="1" applyFill="1" applyBorder="1" applyAlignment="1">
      <alignment horizontal="left" vertical="center" wrapText="1"/>
    </xf>
    <xf numFmtId="3" fontId="7" fillId="0" borderId="67" xfId="0" applyNumberFormat="1" applyFont="1" applyFill="1" applyBorder="1" applyAlignment="1">
      <alignment horizontal="left" vertical="center" wrapText="1"/>
    </xf>
    <xf numFmtId="3" fontId="7" fillId="0" borderId="18" xfId="0" applyNumberFormat="1" applyFont="1" applyFill="1" applyBorder="1" applyAlignment="1">
      <alignment horizontal="left" vertical="center" wrapText="1"/>
    </xf>
    <xf numFmtId="3" fontId="7" fillId="0" borderId="39" xfId="0" applyNumberFormat="1" applyFont="1" applyFill="1" applyBorder="1" applyAlignment="1">
      <alignment horizontal="left" vertical="center" wrapText="1"/>
    </xf>
    <xf numFmtId="3" fontId="8" fillId="0" borderId="24" xfId="0" applyNumberFormat="1" applyFont="1" applyFill="1" applyBorder="1" applyAlignment="1">
      <alignment horizontal="left" wrapText="1"/>
    </xf>
    <xf numFmtId="0" fontId="7" fillId="0" borderId="74" xfId="0" applyFont="1" applyFill="1" applyBorder="1" applyAlignment="1">
      <alignment horizontal="left" vertical="center" wrapText="1"/>
    </xf>
    <xf numFmtId="3" fontId="7" fillId="0" borderId="70" xfId="0" applyNumberFormat="1" applyFont="1" applyFill="1" applyBorder="1" applyAlignment="1">
      <alignment horizontal="left" vertical="center"/>
    </xf>
    <xf numFmtId="3" fontId="7" fillId="0" borderId="2" xfId="0" applyNumberFormat="1" applyFont="1" applyFill="1" applyBorder="1" applyAlignment="1">
      <alignment horizontal="left" vertical="center"/>
    </xf>
    <xf numFmtId="3" fontId="7" fillId="0" borderId="69" xfId="0" applyNumberFormat="1" applyFont="1" applyFill="1" applyBorder="1" applyAlignment="1">
      <alignment horizontal="left" vertical="center"/>
    </xf>
    <xf numFmtId="3" fontId="7" fillId="0" borderId="75" xfId="0" applyNumberFormat="1" applyFont="1" applyFill="1" applyBorder="1" applyAlignment="1">
      <alignment horizontal="left" vertical="center"/>
    </xf>
    <xf numFmtId="3" fontId="7" fillId="0" borderId="71" xfId="0" applyNumberFormat="1" applyFont="1" applyFill="1" applyBorder="1" applyAlignment="1">
      <alignment horizontal="left" vertical="center"/>
    </xf>
    <xf numFmtId="0" fontId="8" fillId="0" borderId="78" xfId="0" applyFont="1" applyFill="1" applyBorder="1" applyAlignment="1">
      <alignment horizontal="left" vertical="center" wrapText="1"/>
    </xf>
    <xf numFmtId="0" fontId="8" fillId="0" borderId="76" xfId="0" applyFont="1" applyFill="1" applyBorder="1" applyAlignment="1">
      <alignment horizontal="left" vertical="center" wrapText="1"/>
    </xf>
    <xf numFmtId="0" fontId="8" fillId="0" borderId="77" xfId="0" applyFont="1" applyFill="1" applyBorder="1" applyAlignment="1">
      <alignment horizontal="left" vertical="center" wrapText="1"/>
    </xf>
    <xf numFmtId="0" fontId="7" fillId="0" borderId="21" xfId="0" applyFont="1" applyFill="1" applyBorder="1"/>
    <xf numFmtId="3" fontId="8" fillId="0" borderId="21" xfId="0" applyNumberFormat="1" applyFont="1" applyFill="1" applyBorder="1" applyAlignment="1">
      <alignment horizontal="right" vertical="center"/>
    </xf>
    <xf numFmtId="3" fontId="7" fillId="0" borderId="19" xfId="0" applyNumberFormat="1" applyFont="1" applyFill="1" applyBorder="1" applyAlignment="1">
      <alignment horizontal="right" vertical="center"/>
    </xf>
    <xf numFmtId="3" fontId="8" fillId="0" borderId="56" xfId="0" applyNumberFormat="1" applyFont="1" applyFill="1" applyBorder="1" applyAlignment="1">
      <alignment horizontal="right" vertical="center"/>
    </xf>
    <xf numFmtId="3" fontId="7" fillId="0" borderId="73" xfId="0" applyNumberFormat="1" applyFont="1" applyFill="1" applyBorder="1" applyAlignment="1">
      <alignment horizontal="left" vertical="center"/>
    </xf>
    <xf numFmtId="0" fontId="8" fillId="0" borderId="24" xfId="0" applyFont="1" applyFill="1" applyBorder="1"/>
    <xf numFmtId="0" fontId="7" fillId="0" borderId="80" xfId="4" applyFont="1" applyFill="1" applyBorder="1" applyAlignment="1">
      <alignment horizontal="left" vertical="center" wrapText="1"/>
    </xf>
    <xf numFmtId="3" fontId="7" fillId="0" borderId="69" xfId="4" applyNumberFormat="1" applyFont="1" applyFill="1" applyBorder="1" applyAlignment="1">
      <alignment horizontal="left" vertical="center" wrapText="1"/>
    </xf>
    <xf numFmtId="3" fontId="8" fillId="0" borderId="74" xfId="0" applyNumberFormat="1" applyFont="1" applyFill="1" applyBorder="1" applyAlignment="1">
      <alignment horizontal="left" wrapText="1"/>
    </xf>
    <xf numFmtId="3" fontId="8" fillId="0" borderId="78" xfId="0" applyNumberFormat="1" applyFont="1" applyFill="1" applyBorder="1" applyAlignment="1">
      <alignment horizontal="left" wrapText="1"/>
    </xf>
    <xf numFmtId="0" fontId="7" fillId="0" borderId="78" xfId="4" applyFont="1" applyFill="1" applyBorder="1" applyAlignment="1">
      <alignment horizontal="left" vertical="center" wrapText="1"/>
    </xf>
    <xf numFmtId="0" fontId="7" fillId="0" borderId="77" xfId="4" applyFont="1" applyFill="1" applyBorder="1" applyAlignment="1">
      <alignment horizontal="left" vertical="center" wrapText="1"/>
    </xf>
    <xf numFmtId="3" fontId="7" fillId="0" borderId="56" xfId="0" applyNumberFormat="1" applyFont="1" applyFill="1" applyBorder="1" applyAlignment="1">
      <alignment horizontal="right" vertical="center"/>
    </xf>
    <xf numFmtId="3" fontId="7" fillId="0" borderId="21" xfId="0" applyNumberFormat="1" applyFont="1" applyFill="1" applyBorder="1" applyAlignment="1">
      <alignment horizontal="right" vertical="center"/>
    </xf>
    <xf numFmtId="3" fontId="8" fillId="0" borderId="13" xfId="0" applyNumberFormat="1" applyFont="1" applyFill="1" applyBorder="1" applyAlignment="1">
      <alignment horizontal="right"/>
    </xf>
    <xf numFmtId="3" fontId="8" fillId="0" borderId="18" xfId="0" applyNumberFormat="1" applyFont="1" applyFill="1" applyBorder="1" applyAlignment="1">
      <alignment horizontal="right"/>
    </xf>
    <xf numFmtId="3" fontId="8" fillId="0" borderId="56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vertical="center"/>
    </xf>
    <xf numFmtId="0" fontId="8" fillId="0" borderId="78" xfId="0" applyFont="1" applyFill="1" applyBorder="1" applyAlignment="1">
      <alignment wrapText="1"/>
    </xf>
    <xf numFmtId="3" fontId="9" fillId="0" borderId="24" xfId="0" applyNumberFormat="1" applyFont="1" applyFill="1" applyBorder="1" applyAlignment="1">
      <alignment wrapText="1"/>
    </xf>
    <xf numFmtId="3" fontId="9" fillId="0" borderId="4" xfId="0" applyNumberFormat="1" applyFont="1" applyFill="1" applyBorder="1"/>
    <xf numFmtId="3" fontId="9" fillId="0" borderId="4" xfId="0" applyNumberFormat="1" applyFont="1" applyFill="1" applyBorder="1" applyAlignment="1">
      <alignment wrapText="1"/>
    </xf>
    <xf numFmtId="0" fontId="13" fillId="0" borderId="4" xfId="0" applyFont="1" applyFill="1" applyBorder="1"/>
    <xf numFmtId="3" fontId="8" fillId="0" borderId="4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165" fontId="8" fillId="0" borderId="4" xfId="0" applyNumberFormat="1" applyFont="1" applyFill="1" applyBorder="1" applyAlignment="1">
      <alignment vertical="center"/>
    </xf>
    <xf numFmtId="0" fontId="8" fillId="5" borderId="4" xfId="0" applyFont="1" applyFill="1" applyBorder="1" applyAlignment="1">
      <alignment vertical="center" shrinkToFit="1"/>
    </xf>
    <xf numFmtId="3" fontId="8" fillId="5" borderId="4" xfId="0" applyNumberFormat="1" applyFont="1" applyFill="1" applyBorder="1" applyAlignment="1">
      <alignment vertical="center"/>
    </xf>
    <xf numFmtId="38" fontId="8" fillId="5" borderId="4" xfId="0" applyNumberFormat="1" applyFont="1" applyFill="1" applyBorder="1" applyAlignment="1" applyProtection="1">
      <alignment horizontal="right" vertical="center" wrapText="1" indent="3"/>
    </xf>
    <xf numFmtId="165" fontId="8" fillId="5" borderId="4" xfId="0" applyNumberFormat="1" applyFont="1" applyFill="1" applyBorder="1" applyAlignment="1">
      <alignment vertical="center"/>
    </xf>
    <xf numFmtId="3" fontId="12" fillId="5" borderId="4" xfId="0" applyNumberFormat="1" applyFont="1" applyFill="1" applyBorder="1" applyAlignment="1">
      <alignment vertical="center"/>
    </xf>
    <xf numFmtId="0" fontId="7" fillId="5" borderId="4" xfId="0" applyFont="1" applyFill="1" applyBorder="1" applyAlignment="1">
      <alignment horizontal="right" vertical="center" shrinkToFit="1"/>
    </xf>
    <xf numFmtId="3" fontId="7" fillId="5" borderId="4" xfId="0" applyNumberFormat="1" applyFont="1" applyFill="1" applyBorder="1" applyAlignment="1">
      <alignment vertical="center"/>
    </xf>
    <xf numFmtId="3" fontId="7" fillId="5" borderId="4" xfId="0" applyNumberFormat="1" applyFont="1" applyFill="1" applyBorder="1" applyAlignment="1">
      <alignment horizontal="left" vertical="center"/>
    </xf>
    <xf numFmtId="3" fontId="8" fillId="5" borderId="4" xfId="0" applyNumberFormat="1" applyFont="1" applyFill="1" applyBorder="1" applyAlignment="1">
      <alignment horizontal="right" vertical="center" wrapText="1"/>
    </xf>
    <xf numFmtId="38" fontId="8" fillId="5" borderId="4" xfId="0" applyNumberFormat="1" applyFont="1" applyFill="1" applyBorder="1" applyAlignment="1" applyProtection="1">
      <alignment horizontal="center" vertical="center" wrapText="1"/>
    </xf>
    <xf numFmtId="3" fontId="7" fillId="5" borderId="4" xfId="0" applyNumberFormat="1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shrinkToFit="1"/>
    </xf>
    <xf numFmtId="3" fontId="7" fillId="0" borderId="4" xfId="0" applyNumberFormat="1" applyFont="1" applyFill="1" applyBorder="1" applyAlignment="1">
      <alignment vertical="center" wrapText="1"/>
    </xf>
    <xf numFmtId="3" fontId="7" fillId="0" borderId="4" xfId="0" applyNumberFormat="1" applyFont="1" applyFill="1" applyBorder="1" applyAlignment="1">
      <alignment vertical="center"/>
    </xf>
    <xf numFmtId="165" fontId="7" fillId="0" borderId="4" xfId="0" applyNumberFormat="1" applyFont="1" applyFill="1" applyBorder="1" applyAlignment="1">
      <alignment vertical="center" wrapText="1"/>
    </xf>
    <xf numFmtId="3" fontId="14" fillId="0" borderId="4" xfId="0" applyNumberFormat="1" applyFont="1" applyFill="1" applyBorder="1" applyAlignment="1">
      <alignment vertical="center"/>
    </xf>
    <xf numFmtId="3" fontId="9" fillId="0" borderId="28" xfId="0" applyNumberFormat="1" applyFont="1" applyFill="1" applyBorder="1" applyAlignment="1">
      <alignment horizontal="right" vertical="center"/>
    </xf>
    <xf numFmtId="3" fontId="9" fillId="0" borderId="23" xfId="0" applyNumberFormat="1" applyFont="1" applyFill="1" applyBorder="1" applyAlignment="1">
      <alignment horizontal="right" vertical="center"/>
    </xf>
    <xf numFmtId="3" fontId="13" fillId="0" borderId="37" xfId="0" applyNumberFormat="1" applyFont="1" applyFill="1" applyBorder="1" applyAlignment="1">
      <alignment horizontal="left" vertical="center"/>
    </xf>
    <xf numFmtId="0" fontId="7" fillId="0" borderId="23" xfId="0" applyFont="1" applyFill="1" applyBorder="1"/>
    <xf numFmtId="0" fontId="9" fillId="0" borderId="78" xfId="0" applyFont="1" applyFill="1" applyBorder="1" applyAlignment="1">
      <alignment horizontal="left" vertical="center" wrapText="1"/>
    </xf>
    <xf numFmtId="166" fontId="9" fillId="0" borderId="23" xfId="10" applyNumberFormat="1" applyFont="1" applyFill="1" applyBorder="1"/>
    <xf numFmtId="3" fontId="13" fillId="0" borderId="5" xfId="0" applyNumberFormat="1" applyFont="1" applyFill="1" applyBorder="1" applyAlignment="1">
      <alignment horizontal="right" vertical="center"/>
    </xf>
    <xf numFmtId="165" fontId="15" fillId="8" borderId="70" xfId="1" applyNumberFormat="1" applyFont="1" applyFill="1" applyBorder="1" applyAlignment="1" applyProtection="1">
      <alignment horizontal="center" vertical="center" wrapText="1"/>
    </xf>
    <xf numFmtId="3" fontId="15" fillId="0" borderId="3" xfId="0" applyNumberFormat="1" applyFont="1" applyFill="1" applyBorder="1" applyAlignment="1" applyProtection="1">
      <alignment horizontal="center" vertical="center" wrapText="1"/>
    </xf>
    <xf numFmtId="165" fontId="15" fillId="0" borderId="3" xfId="0" applyNumberFormat="1" applyFont="1" applyFill="1" applyBorder="1" applyAlignment="1" applyProtection="1">
      <alignment horizontal="center" vertical="center" wrapText="1"/>
    </xf>
    <xf numFmtId="165" fontId="15" fillId="4" borderId="3" xfId="0" applyNumberFormat="1" applyFont="1" applyFill="1" applyBorder="1" applyAlignment="1" applyProtection="1">
      <alignment horizontal="center" vertical="center" wrapText="1"/>
    </xf>
    <xf numFmtId="165" fontId="15" fillId="8" borderId="3" xfId="0" applyNumberFormat="1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38" fontId="16" fillId="0" borderId="4" xfId="0" applyNumberFormat="1" applyFont="1" applyFill="1" applyBorder="1" applyAlignment="1" applyProtection="1">
      <alignment horizontal="left" vertical="center"/>
    </xf>
    <xf numFmtId="3" fontId="16" fillId="0" borderId="4" xfId="0" applyNumberFormat="1" applyFont="1" applyFill="1" applyBorder="1" applyAlignment="1" applyProtection="1">
      <alignment horizontal="right" vertical="center" wrapText="1"/>
    </xf>
    <xf numFmtId="165" fontId="16" fillId="0" borderId="3" xfId="6" quotePrefix="1" applyNumberFormat="1" applyFont="1" applyFill="1" applyBorder="1" applyAlignment="1" applyProtection="1">
      <alignment horizontal="right" vertical="center" wrapText="1"/>
      <protection locked="0"/>
    </xf>
    <xf numFmtId="3" fontId="16" fillId="0" borderId="3" xfId="6" quotePrefix="1" applyNumberFormat="1" applyFont="1" applyFill="1" applyBorder="1" applyAlignment="1" applyProtection="1">
      <alignment horizontal="right" vertical="center" wrapText="1"/>
      <protection locked="0"/>
    </xf>
    <xf numFmtId="3" fontId="16" fillId="4" borderId="3" xfId="6" quotePrefix="1" applyNumberFormat="1" applyFont="1" applyFill="1" applyBorder="1" applyAlignment="1" applyProtection="1">
      <alignment horizontal="right" vertical="center" wrapText="1"/>
      <protection locked="0"/>
    </xf>
    <xf numFmtId="3" fontId="16" fillId="8" borderId="3" xfId="6" quotePrefix="1" applyNumberFormat="1" applyFont="1" applyFill="1" applyBorder="1" applyAlignment="1" applyProtection="1">
      <alignment horizontal="right" vertical="center" wrapText="1"/>
      <protection locked="0"/>
    </xf>
    <xf numFmtId="0" fontId="17" fillId="0" borderId="3" xfId="0" applyFont="1" applyBorder="1" applyAlignment="1">
      <alignment horizontal="right" vertical="center" wrapText="1"/>
    </xf>
    <xf numFmtId="38" fontId="17" fillId="0" borderId="4" xfId="0" applyNumberFormat="1" applyFont="1" applyFill="1" applyBorder="1" applyAlignment="1" applyProtection="1">
      <alignment horizontal="left" vertical="center"/>
    </xf>
    <xf numFmtId="3" fontId="17" fillId="0" borderId="4" xfId="0" applyNumberFormat="1" applyFont="1" applyFill="1" applyBorder="1" applyAlignment="1" applyProtection="1">
      <alignment horizontal="right" vertical="center"/>
      <protection locked="0"/>
    </xf>
    <xf numFmtId="38" fontId="17" fillId="0" borderId="3" xfId="0" applyNumberFormat="1" applyFont="1" applyFill="1" applyBorder="1" applyAlignment="1" applyProtection="1">
      <alignment horizontal="right" vertical="center"/>
      <protection locked="0"/>
    </xf>
    <xf numFmtId="3" fontId="17" fillId="0" borderId="3" xfId="6" quotePrefix="1" applyNumberFormat="1" applyFont="1" applyFill="1" applyBorder="1" applyAlignment="1" applyProtection="1">
      <alignment horizontal="right" vertical="center" wrapText="1"/>
      <protection locked="0"/>
    </xf>
    <xf numFmtId="0" fontId="15" fillId="3" borderId="3" xfId="0" applyFont="1" applyFill="1" applyBorder="1" applyAlignment="1">
      <alignment horizontal="left" vertical="center" wrapText="1"/>
    </xf>
    <xf numFmtId="38" fontId="15" fillId="3" borderId="4" xfId="0" applyNumberFormat="1" applyFont="1" applyFill="1" applyBorder="1" applyAlignment="1" applyProtection="1">
      <alignment horizontal="left" vertical="center"/>
    </xf>
    <xf numFmtId="3" fontId="18" fillId="3" borderId="4" xfId="0" applyNumberFormat="1" applyFont="1" applyFill="1" applyBorder="1" applyAlignment="1" applyProtection="1">
      <alignment horizontal="right" vertical="center" wrapText="1"/>
    </xf>
    <xf numFmtId="38" fontId="18" fillId="3" borderId="3" xfId="0" applyNumberFormat="1" applyFont="1" applyFill="1" applyBorder="1" applyAlignment="1" applyProtection="1">
      <alignment horizontal="right" vertical="center" wrapText="1"/>
    </xf>
    <xf numFmtId="165" fontId="16" fillId="0" borderId="3" xfId="6" applyNumberFormat="1" applyFont="1" applyFill="1" applyBorder="1" applyAlignment="1" applyProtection="1">
      <alignment horizontal="right" vertical="center" wrapText="1"/>
      <protection locked="0"/>
    </xf>
    <xf numFmtId="165" fontId="16" fillId="0" borderId="3" xfId="0" applyNumberFormat="1" applyFont="1" applyFill="1" applyBorder="1" applyAlignment="1" applyProtection="1">
      <alignment horizontal="right" vertical="center"/>
      <protection locked="0"/>
    </xf>
    <xf numFmtId="3" fontId="15" fillId="3" borderId="4" xfId="0" applyNumberFormat="1" applyFont="1" applyFill="1" applyBorder="1" applyAlignment="1" applyProtection="1">
      <alignment horizontal="right" vertical="center" wrapText="1"/>
    </xf>
    <xf numFmtId="38" fontId="15" fillId="3" borderId="3" xfId="0" applyNumberFormat="1" applyFont="1" applyFill="1" applyBorder="1" applyAlignment="1" applyProtection="1">
      <alignment horizontal="right" vertical="center" wrapText="1"/>
    </xf>
    <xf numFmtId="38" fontId="17" fillId="0" borderId="4" xfId="0" applyNumberFormat="1" applyFont="1" applyFill="1" applyBorder="1" applyAlignment="1" applyProtection="1">
      <alignment horizontal="right" vertical="center"/>
    </xf>
    <xf numFmtId="3" fontId="17" fillId="0" borderId="3" xfId="6" applyNumberFormat="1" applyFont="1" applyFill="1" applyBorder="1" applyAlignment="1" applyProtection="1">
      <alignment horizontal="right" vertical="center" wrapText="1"/>
      <protection locked="0"/>
    </xf>
    <xf numFmtId="3" fontId="17" fillId="0" borderId="4" xfId="0" applyNumberFormat="1" applyFont="1" applyFill="1" applyBorder="1" applyAlignment="1" applyProtection="1">
      <alignment horizontal="right" vertical="center" wrapText="1"/>
    </xf>
    <xf numFmtId="3" fontId="17" fillId="0" borderId="3" xfId="0" applyNumberFormat="1" applyFont="1" applyFill="1" applyBorder="1" applyAlignment="1" applyProtection="1">
      <alignment horizontal="right" vertical="center"/>
      <protection locked="0"/>
    </xf>
    <xf numFmtId="0" fontId="17" fillId="0" borderId="4" xfId="0" applyFont="1" applyFill="1" applyBorder="1" applyAlignment="1" applyProtection="1">
      <alignment horizontal="right" vertical="center"/>
    </xf>
    <xf numFmtId="165" fontId="17" fillId="0" borderId="3" xfId="6" applyNumberFormat="1" applyFont="1" applyFill="1" applyBorder="1" applyAlignment="1" applyProtection="1">
      <alignment horizontal="right" vertical="center" wrapText="1"/>
      <protection locked="0"/>
    </xf>
    <xf numFmtId="3" fontId="16" fillId="0" borderId="3" xfId="6" applyNumberFormat="1" applyFont="1" applyFill="1" applyBorder="1" applyAlignment="1" applyProtection="1">
      <alignment horizontal="right" vertical="center" wrapText="1"/>
      <protection locked="0"/>
    </xf>
    <xf numFmtId="3" fontId="15" fillId="4" borderId="3" xfId="6" quotePrefix="1" applyNumberFormat="1" applyFont="1" applyFill="1" applyBorder="1" applyAlignment="1" applyProtection="1">
      <alignment horizontal="right" vertical="center" wrapText="1"/>
      <protection locked="0"/>
    </xf>
    <xf numFmtId="3" fontId="15" fillId="8" borderId="3" xfId="6" quotePrefix="1" applyNumberFormat="1" applyFont="1" applyFill="1" applyBorder="1" applyAlignment="1" applyProtection="1">
      <alignment horizontal="right" vertical="center" wrapText="1"/>
      <protection locked="0"/>
    </xf>
    <xf numFmtId="0" fontId="16" fillId="3" borderId="3" xfId="0" applyFont="1" applyFill="1" applyBorder="1" applyAlignment="1">
      <alignment horizontal="left" vertical="center" wrapText="1"/>
    </xf>
    <xf numFmtId="38" fontId="16" fillId="3" borderId="4" xfId="0" applyNumberFormat="1" applyFont="1" applyFill="1" applyBorder="1" applyAlignment="1" applyProtection="1">
      <alignment horizontal="left" vertical="center"/>
    </xf>
    <xf numFmtId="3" fontId="16" fillId="3" borderId="4" xfId="0" applyNumberFormat="1" applyFont="1" applyFill="1" applyBorder="1" applyAlignment="1" applyProtection="1">
      <alignment horizontal="right" vertical="center" wrapText="1"/>
    </xf>
    <xf numFmtId="165" fontId="16" fillId="3" borderId="3" xfId="6" quotePrefix="1" applyNumberFormat="1" applyFont="1" applyFill="1" applyBorder="1" applyAlignment="1" applyProtection="1">
      <alignment horizontal="right" vertical="center" wrapText="1"/>
      <protection locked="0"/>
    </xf>
    <xf numFmtId="3" fontId="16" fillId="3" borderId="3" xfId="6" quotePrefix="1" applyNumberFormat="1" applyFont="1" applyFill="1" applyBorder="1" applyAlignment="1" applyProtection="1">
      <alignment horizontal="right" vertical="center" wrapText="1"/>
      <protection locked="0"/>
    </xf>
    <xf numFmtId="0" fontId="15" fillId="0" borderId="3" xfId="0" applyFont="1" applyBorder="1" applyAlignment="1">
      <alignment horizontal="left" vertical="center" wrapText="1"/>
    </xf>
    <xf numFmtId="38" fontId="15" fillId="0" borderId="4" xfId="0" applyNumberFormat="1" applyFont="1" applyFill="1" applyBorder="1" applyAlignment="1" applyProtection="1">
      <alignment horizontal="left" vertical="center"/>
    </xf>
    <xf numFmtId="3" fontId="15" fillId="0" borderId="4" xfId="0" applyNumberFormat="1" applyFont="1" applyFill="1" applyBorder="1" applyAlignment="1" applyProtection="1">
      <alignment horizontal="right" vertical="center"/>
      <protection locked="0"/>
    </xf>
    <xf numFmtId="38" fontId="15" fillId="0" borderId="3" xfId="0" applyNumberFormat="1" applyFont="1" applyFill="1" applyBorder="1" applyAlignment="1" applyProtection="1">
      <alignment horizontal="right" vertical="center"/>
      <protection locked="0"/>
    </xf>
    <xf numFmtId="3" fontId="15" fillId="0" borderId="3" xfId="6" applyNumberFormat="1" applyFont="1" applyFill="1" applyBorder="1" applyAlignment="1" applyProtection="1">
      <alignment horizontal="right" vertical="center" wrapText="1"/>
      <protection locked="0"/>
    </xf>
    <xf numFmtId="38" fontId="16" fillId="0" borderId="4" xfId="0" applyNumberFormat="1" applyFont="1" applyFill="1" applyBorder="1" applyAlignment="1" applyProtection="1">
      <alignment horizontal="right" vertical="center"/>
    </xf>
    <xf numFmtId="3" fontId="18" fillId="0" borderId="4" xfId="0" applyNumberFormat="1" applyFont="1" applyFill="1" applyBorder="1" applyAlignment="1" applyProtection="1">
      <alignment horizontal="right" vertical="center" wrapText="1"/>
    </xf>
    <xf numFmtId="165" fontId="15" fillId="0" borderId="3" xfId="6" quotePrefix="1" applyNumberFormat="1" applyFont="1" applyFill="1" applyBorder="1" applyAlignment="1" applyProtection="1">
      <alignment horizontal="right" vertical="center" wrapText="1"/>
      <protection locked="0"/>
    </xf>
    <xf numFmtId="3" fontId="15" fillId="0" borderId="3" xfId="6" quotePrefix="1" applyNumberFormat="1" applyFont="1" applyFill="1" applyBorder="1" applyAlignment="1" applyProtection="1">
      <alignment horizontal="right" vertical="center" wrapText="1"/>
      <protection locked="0"/>
    </xf>
    <xf numFmtId="0" fontId="15" fillId="3" borderId="3" xfId="0" applyFont="1" applyFill="1" applyBorder="1" applyAlignment="1" applyProtection="1">
      <alignment horizontal="right" vertical="center" wrapText="1"/>
    </xf>
    <xf numFmtId="0" fontId="17" fillId="0" borderId="3" xfId="0" applyFont="1" applyFill="1" applyBorder="1" applyAlignment="1" applyProtection="1">
      <alignment horizontal="right" vertical="center"/>
      <protection locked="0"/>
    </xf>
    <xf numFmtId="0" fontId="18" fillId="3" borderId="3" xfId="0" applyFont="1" applyFill="1" applyBorder="1" applyAlignment="1" applyProtection="1">
      <alignment horizontal="right" vertical="center" wrapText="1"/>
    </xf>
    <xf numFmtId="3" fontId="15" fillId="3" borderId="3" xfId="0" applyNumberFormat="1" applyFont="1" applyFill="1" applyBorder="1" applyAlignment="1" applyProtection="1">
      <alignment horizontal="right" vertical="center" wrapText="1"/>
    </xf>
    <xf numFmtId="3" fontId="17" fillId="0" borderId="4" xfId="6" applyNumberFormat="1" applyFont="1" applyFill="1" applyBorder="1" applyAlignment="1" applyProtection="1">
      <alignment horizontal="right" vertical="center" wrapText="1"/>
      <protection locked="0"/>
    </xf>
    <xf numFmtId="165" fontId="17" fillId="0" borderId="3" xfId="6" quotePrefix="1" applyNumberFormat="1" applyFont="1" applyFill="1" applyBorder="1" applyAlignment="1" applyProtection="1">
      <alignment horizontal="right" vertical="center" wrapText="1"/>
      <protection locked="0"/>
    </xf>
    <xf numFmtId="38" fontId="16" fillId="0" borderId="3" xfId="0" applyNumberFormat="1" applyFont="1" applyFill="1" applyBorder="1" applyAlignment="1" applyProtection="1">
      <alignment horizontal="right" vertical="center"/>
      <protection locked="0"/>
    </xf>
    <xf numFmtId="3" fontId="16" fillId="3" borderId="3" xfId="0" applyNumberFormat="1" applyFont="1" applyFill="1" applyBorder="1" applyAlignment="1" applyProtection="1">
      <alignment horizontal="right" vertical="center" wrapText="1"/>
    </xf>
    <xf numFmtId="3" fontId="16" fillId="0" borderId="4" xfId="0" applyNumberFormat="1" applyFont="1" applyFill="1" applyBorder="1" applyAlignment="1" applyProtection="1">
      <alignment horizontal="right" vertical="center"/>
      <protection locked="0"/>
    </xf>
    <xf numFmtId="165" fontId="16" fillId="0" borderId="3" xfId="6" quotePrefix="1" applyNumberFormat="1" applyFont="1" applyFill="1" applyBorder="1" applyAlignment="1" applyProtection="1">
      <alignment horizontal="right" vertical="center" wrapText="1"/>
    </xf>
    <xf numFmtId="3" fontId="17" fillId="3" borderId="4" xfId="0" applyNumberFormat="1" applyFont="1" applyFill="1" applyBorder="1" applyAlignment="1" applyProtection="1">
      <alignment horizontal="right" vertical="center" wrapText="1"/>
    </xf>
    <xf numFmtId="3" fontId="17" fillId="3" borderId="3" xfId="0" applyNumberFormat="1" applyFont="1" applyFill="1" applyBorder="1" applyAlignment="1" applyProtection="1">
      <alignment horizontal="right" vertical="center" wrapText="1"/>
    </xf>
    <xf numFmtId="0" fontId="16" fillId="3" borderId="4" xfId="0" applyFont="1" applyFill="1" applyBorder="1" applyAlignment="1" applyProtection="1">
      <alignment horizontal="left" vertical="center"/>
    </xf>
    <xf numFmtId="38" fontId="16" fillId="3" borderId="4" xfId="0" applyNumberFormat="1" applyFont="1" applyFill="1" applyBorder="1" applyAlignment="1" applyProtection="1">
      <alignment vertical="center"/>
    </xf>
    <xf numFmtId="165" fontId="17" fillId="0" borderId="3" xfId="0" applyNumberFormat="1" applyFont="1" applyFill="1" applyBorder="1" applyAlignment="1" applyProtection="1">
      <alignment horizontal="right" vertical="center"/>
      <protection locked="0"/>
    </xf>
    <xf numFmtId="3" fontId="16" fillId="3" borderId="3" xfId="6" quotePrefix="1" applyNumberFormat="1" applyFont="1" applyFill="1" applyBorder="1" applyAlignment="1" applyProtection="1">
      <alignment horizontal="right" vertical="center" wrapText="1"/>
    </xf>
    <xf numFmtId="38" fontId="17" fillId="3" borderId="3" xfId="0" applyNumberFormat="1" applyFont="1" applyFill="1" applyBorder="1" applyAlignment="1" applyProtection="1">
      <alignment horizontal="right" vertical="center"/>
    </xf>
    <xf numFmtId="38" fontId="17" fillId="3" borderId="4" xfId="0" applyNumberFormat="1" applyFont="1" applyFill="1" applyBorder="1" applyAlignment="1" applyProtection="1">
      <alignment horizontal="right" vertical="center"/>
    </xf>
    <xf numFmtId="165" fontId="17" fillId="3" borderId="3" xfId="6" quotePrefix="1" applyNumberFormat="1" applyFont="1" applyFill="1" applyBorder="1" applyAlignment="1" applyProtection="1">
      <alignment horizontal="right" vertical="center" wrapText="1"/>
    </xf>
    <xf numFmtId="3" fontId="17" fillId="3" borderId="3" xfId="6" quotePrefix="1" applyNumberFormat="1" applyFont="1" applyFill="1" applyBorder="1" applyAlignment="1" applyProtection="1">
      <alignment horizontal="right" vertical="center" wrapText="1"/>
    </xf>
    <xf numFmtId="3" fontId="17" fillId="3" borderId="3" xfId="6" applyNumberFormat="1" applyFont="1" applyFill="1" applyBorder="1" applyAlignment="1" applyProtection="1">
      <alignment horizontal="right" vertical="center" wrapText="1"/>
    </xf>
    <xf numFmtId="165" fontId="15" fillId="3" borderId="3" xfId="6" applyNumberFormat="1" applyFont="1" applyFill="1" applyBorder="1" applyAlignment="1" applyProtection="1">
      <alignment horizontal="right" vertical="center" wrapText="1"/>
    </xf>
    <xf numFmtId="3" fontId="15" fillId="3" borderId="3" xfId="6" quotePrefix="1" applyNumberFormat="1" applyFont="1" applyFill="1" applyBorder="1" applyAlignment="1" applyProtection="1">
      <alignment horizontal="right" vertical="center" wrapText="1"/>
      <protection locked="0"/>
    </xf>
    <xf numFmtId="38" fontId="15" fillId="3" borderId="3" xfId="0" applyNumberFormat="1" applyFont="1" applyFill="1" applyBorder="1" applyAlignment="1" applyProtection="1">
      <alignment horizontal="right" vertical="center"/>
      <protection locked="0"/>
    </xf>
    <xf numFmtId="38" fontId="18" fillId="0" borderId="4" xfId="0" applyNumberFormat="1" applyFont="1" applyFill="1" applyBorder="1" applyAlignment="1" applyProtection="1">
      <alignment horizontal="left" vertical="center"/>
    </xf>
    <xf numFmtId="3" fontId="18" fillId="0" borderId="4" xfId="0" applyNumberFormat="1" applyFont="1" applyFill="1" applyBorder="1" applyAlignment="1" applyProtection="1">
      <alignment horizontal="right" vertical="center"/>
      <protection locked="0"/>
    </xf>
    <xf numFmtId="38" fontId="18" fillId="0" borderId="3" xfId="0" applyNumberFormat="1" applyFont="1" applyFill="1" applyBorder="1" applyAlignment="1" applyProtection="1">
      <alignment horizontal="right" vertical="center"/>
      <protection locked="0"/>
    </xf>
    <xf numFmtId="3" fontId="18" fillId="0" borderId="3" xfId="6" quotePrefix="1" applyNumberFormat="1" applyFont="1" applyFill="1" applyBorder="1" applyAlignment="1" applyProtection="1">
      <alignment horizontal="right" vertical="center" wrapText="1"/>
      <protection locked="0"/>
    </xf>
    <xf numFmtId="165" fontId="15" fillId="3" borderId="3" xfId="6" quotePrefix="1" applyNumberFormat="1" applyFont="1" applyFill="1" applyBorder="1" applyAlignment="1" applyProtection="1">
      <alignment horizontal="right" vertical="center" wrapText="1"/>
      <protection locked="0"/>
    </xf>
    <xf numFmtId="3" fontId="18" fillId="3" borderId="3" xfId="0" applyNumberFormat="1" applyFont="1" applyFill="1" applyBorder="1" applyAlignment="1" applyProtection="1">
      <alignment horizontal="right" vertical="center" wrapText="1"/>
    </xf>
    <xf numFmtId="3" fontId="15" fillId="0" borderId="4" xfId="0" applyNumberFormat="1" applyFont="1" applyFill="1" applyBorder="1" applyAlignment="1" applyProtection="1">
      <alignment horizontal="right" vertical="center" wrapText="1"/>
    </xf>
    <xf numFmtId="0" fontId="16" fillId="0" borderId="4" xfId="0" applyFont="1" applyFill="1" applyBorder="1" applyAlignment="1" applyProtection="1">
      <alignment horizontal="right" vertical="center"/>
    </xf>
    <xf numFmtId="165" fontId="15" fillId="0" borderId="3" xfId="6" applyNumberFormat="1" applyFont="1" applyFill="1" applyBorder="1" applyAlignment="1" applyProtection="1">
      <alignment horizontal="right" vertical="center" wrapText="1"/>
      <protection locked="0"/>
    </xf>
    <xf numFmtId="3" fontId="16" fillId="0" borderId="4" xfId="0" applyNumberFormat="1" applyFont="1" applyFill="1" applyBorder="1" applyAlignment="1" applyProtection="1">
      <alignment horizontal="right" vertical="center"/>
    </xf>
    <xf numFmtId="165" fontId="16" fillId="0" borderId="3" xfId="6" applyNumberFormat="1" applyFont="1" applyFill="1" applyBorder="1" applyAlignment="1" applyProtection="1">
      <alignment horizontal="right" vertical="center" wrapText="1"/>
    </xf>
    <xf numFmtId="165" fontId="16" fillId="3" borderId="3" xfId="6" applyNumberFormat="1" applyFont="1" applyFill="1" applyBorder="1" applyAlignment="1" applyProtection="1">
      <alignment horizontal="right" vertical="center" wrapText="1"/>
      <protection locked="0"/>
    </xf>
    <xf numFmtId="3" fontId="16" fillId="3" borderId="3" xfId="6" applyNumberFormat="1" applyFont="1" applyFill="1" applyBorder="1" applyAlignment="1" applyProtection="1">
      <alignment horizontal="right" vertical="center" wrapText="1"/>
      <protection locked="0"/>
    </xf>
    <xf numFmtId="165" fontId="16" fillId="3" borderId="3" xfId="6" applyNumberFormat="1" applyFont="1" applyFill="1" applyBorder="1" applyAlignment="1" applyProtection="1">
      <alignment horizontal="right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9" fillId="0" borderId="4" xfId="0" applyNumberFormat="1" applyFont="1" applyFill="1" applyBorder="1" applyAlignment="1" applyProtection="1">
      <alignment horizontal="right" vertical="center" wrapText="1"/>
    </xf>
    <xf numFmtId="3" fontId="16" fillId="0" borderId="3" xfId="6" applyNumberFormat="1" applyFont="1" applyFill="1" applyBorder="1" applyAlignment="1" applyProtection="1">
      <alignment horizontal="right" vertical="center" wrapText="1"/>
    </xf>
    <xf numFmtId="3" fontId="15" fillId="3" borderId="4" xfId="6" applyNumberFormat="1" applyFont="1" applyFill="1" applyBorder="1" applyAlignment="1" applyProtection="1">
      <alignment horizontal="right" vertical="center" wrapText="1"/>
    </xf>
    <xf numFmtId="3" fontId="15" fillId="3" borderId="3" xfId="6" applyNumberFormat="1" applyFont="1" applyFill="1" applyBorder="1" applyAlignment="1" applyProtection="1">
      <alignment horizontal="right" vertical="center" wrapText="1"/>
    </xf>
    <xf numFmtId="165" fontId="18" fillId="0" borderId="3" xfId="6" applyNumberFormat="1" applyFont="1" applyFill="1" applyBorder="1" applyAlignment="1" applyProtection="1">
      <alignment horizontal="right" vertical="center" wrapText="1"/>
      <protection locked="0"/>
    </xf>
    <xf numFmtId="3" fontId="15" fillId="0" borderId="4" xfId="0" applyNumberFormat="1" applyFont="1" applyFill="1" applyBorder="1" applyAlignment="1" applyProtection="1">
      <alignment horizontal="right" vertical="center"/>
    </xf>
    <xf numFmtId="165" fontId="15" fillId="0" borderId="3" xfId="6" applyNumberFormat="1" applyFont="1" applyFill="1" applyBorder="1" applyAlignment="1" applyProtection="1">
      <alignment horizontal="right" vertical="center" wrapText="1"/>
    </xf>
    <xf numFmtId="38" fontId="16" fillId="0" borderId="4" xfId="0" applyNumberFormat="1" applyFont="1" applyFill="1" applyBorder="1" applyAlignment="1" applyProtection="1">
      <alignment horizontal="left"/>
      <protection locked="0"/>
    </xf>
    <xf numFmtId="38" fontId="16" fillId="0" borderId="4" xfId="0" applyNumberFormat="1" applyFont="1" applyFill="1" applyBorder="1" applyAlignment="1" applyProtection="1">
      <alignment horizontal="left"/>
    </xf>
    <xf numFmtId="3" fontId="16" fillId="0" borderId="4" xfId="0" applyNumberFormat="1" applyFont="1" applyFill="1" applyBorder="1" applyAlignment="1" applyProtection="1">
      <alignment horizontal="right"/>
      <protection locked="0"/>
    </xf>
    <xf numFmtId="165" fontId="16" fillId="0" borderId="4" xfId="0" applyNumberFormat="1" applyFont="1" applyFill="1" applyBorder="1" applyAlignment="1" applyProtection="1">
      <alignment horizontal="right"/>
      <protection locked="0"/>
    </xf>
    <xf numFmtId="3" fontId="16" fillId="4" borderId="4" xfId="6" quotePrefix="1" applyNumberFormat="1" applyFont="1" applyFill="1" applyBorder="1" applyAlignment="1" applyProtection="1">
      <alignment horizontal="right" vertical="center" wrapText="1"/>
      <protection locked="0"/>
    </xf>
    <xf numFmtId="3" fontId="16" fillId="8" borderId="4" xfId="6" quotePrefix="1" applyNumberFormat="1" applyFont="1" applyFill="1" applyBorder="1" applyAlignment="1" applyProtection="1">
      <alignment horizontal="right" vertical="center" wrapText="1"/>
      <protection locked="0"/>
    </xf>
    <xf numFmtId="38" fontId="16" fillId="0" borderId="1" xfId="0" applyNumberFormat="1" applyFont="1" applyFill="1" applyBorder="1" applyAlignment="1" applyProtection="1">
      <alignment horizontal="center"/>
    </xf>
    <xf numFmtId="38" fontId="15" fillId="4" borderId="70" xfId="0" applyNumberFormat="1" applyFont="1" applyFill="1" applyBorder="1" applyAlignment="1" applyProtection="1">
      <alignment horizontal="center" vertical="center" wrapText="1"/>
    </xf>
    <xf numFmtId="38" fontId="16" fillId="0" borderId="4" xfId="0" applyNumberFormat="1" applyFont="1" applyFill="1" applyBorder="1" applyAlignment="1" applyProtection="1">
      <alignment horizontal="center"/>
    </xf>
    <xf numFmtId="38" fontId="17" fillId="0" borderId="4" xfId="0" applyNumberFormat="1" applyFont="1" applyFill="1" applyBorder="1" applyAlignment="1" applyProtection="1">
      <alignment horizontal="left"/>
      <protection locked="0"/>
    </xf>
    <xf numFmtId="38" fontId="15" fillId="3" borderId="4" xfId="0" applyNumberFormat="1" applyFont="1" applyFill="1" applyBorder="1" applyAlignment="1" applyProtection="1">
      <alignment horizontal="left" vertical="center"/>
      <protection locked="0"/>
    </xf>
    <xf numFmtId="38" fontId="17" fillId="0" borderId="4" xfId="0" applyNumberFormat="1" applyFont="1" applyFill="1" applyBorder="1" applyAlignment="1" applyProtection="1">
      <alignment horizontal="right"/>
      <protection locked="0"/>
    </xf>
    <xf numFmtId="0" fontId="17" fillId="0" borderId="4" xfId="0" applyFont="1" applyFill="1" applyBorder="1" applyAlignment="1" applyProtection="1">
      <alignment horizontal="right"/>
      <protection locked="0"/>
    </xf>
    <xf numFmtId="38" fontId="17" fillId="0" borderId="4" xfId="0" applyNumberFormat="1" applyFont="1" applyFill="1" applyBorder="1" applyAlignment="1" applyProtection="1">
      <alignment horizontal="right" vertical="center"/>
      <protection locked="0"/>
    </xf>
    <xf numFmtId="38" fontId="16" fillId="0" borderId="23" xfId="0" applyNumberFormat="1" applyFont="1" applyFill="1" applyBorder="1" applyAlignment="1" applyProtection="1">
      <alignment horizontal="left"/>
      <protection locked="0"/>
    </xf>
    <xf numFmtId="38" fontId="16" fillId="3" borderId="4" xfId="0" applyNumberFormat="1" applyFont="1" applyFill="1" applyBorder="1" applyAlignment="1" applyProtection="1">
      <alignment horizontal="left"/>
      <protection locked="0"/>
    </xf>
    <xf numFmtId="38" fontId="15" fillId="0" borderId="4" xfId="0" applyNumberFormat="1" applyFont="1" applyFill="1" applyBorder="1" applyAlignment="1" applyProtection="1">
      <alignment horizontal="left" vertical="center"/>
      <protection locked="0"/>
    </xf>
    <xf numFmtId="38" fontId="16" fillId="0" borderId="4" xfId="0" applyNumberFormat="1" applyFont="1" applyFill="1" applyBorder="1" applyAlignment="1" applyProtection="1">
      <alignment horizontal="right" vertical="center"/>
      <protection locked="0"/>
    </xf>
    <xf numFmtId="38" fontId="15" fillId="0" borderId="4" xfId="0" applyNumberFormat="1" applyFont="1" applyFill="1" applyBorder="1" applyAlignment="1" applyProtection="1">
      <alignment horizontal="left"/>
      <protection locked="0"/>
    </xf>
    <xf numFmtId="38" fontId="15" fillId="3" borderId="4" xfId="0" applyNumberFormat="1" applyFont="1" applyFill="1" applyBorder="1" applyAlignment="1" applyProtection="1">
      <alignment horizontal="left"/>
      <protection locked="0"/>
    </xf>
    <xf numFmtId="3" fontId="15" fillId="3" borderId="4" xfId="6" applyNumberFormat="1" applyFont="1" applyFill="1" applyBorder="1" applyAlignment="1" applyProtection="1">
      <alignment horizontal="right" vertical="center" wrapText="1"/>
      <protection locked="0"/>
    </xf>
    <xf numFmtId="3" fontId="15" fillId="3" borderId="3" xfId="6" applyNumberFormat="1" applyFont="1" applyFill="1" applyBorder="1" applyAlignment="1" applyProtection="1">
      <alignment horizontal="right" vertical="center" wrapText="1"/>
      <protection locked="0"/>
    </xf>
    <xf numFmtId="38" fontId="16" fillId="0" borderId="4" xfId="0" applyNumberFormat="1" applyFont="1" applyFill="1" applyBorder="1" applyAlignment="1" applyProtection="1">
      <alignment horizontal="left" vertical="center"/>
      <protection locked="0"/>
    </xf>
    <xf numFmtId="0" fontId="17" fillId="0" borderId="23" xfId="0" applyFont="1" applyFill="1" applyBorder="1" applyAlignment="1" applyProtection="1">
      <alignment horizontal="right"/>
      <protection locked="0"/>
    </xf>
    <xf numFmtId="0" fontId="16" fillId="3" borderId="4" xfId="0" applyFont="1" applyFill="1" applyBorder="1" applyAlignment="1" applyProtection="1">
      <alignment horizontal="left"/>
    </xf>
    <xf numFmtId="0" fontId="17" fillId="0" borderId="4" xfId="0" applyFont="1" applyFill="1" applyBorder="1" applyAlignment="1" applyProtection="1">
      <alignment horizontal="right" vertical="center"/>
      <protection locked="0"/>
    </xf>
    <xf numFmtId="38" fontId="16" fillId="3" borderId="4" xfId="0" applyNumberFormat="1" applyFont="1" applyFill="1" applyBorder="1" applyAlignment="1" applyProtection="1">
      <alignment horizontal="left"/>
    </xf>
    <xf numFmtId="38" fontId="17" fillId="3" borderId="4" xfId="0" applyNumberFormat="1" applyFont="1" applyFill="1" applyBorder="1" applyAlignment="1" applyProtection="1">
      <alignment horizontal="right"/>
    </xf>
    <xf numFmtId="38" fontId="18" fillId="0" borderId="4" xfId="0" applyNumberFormat="1" applyFont="1" applyFill="1" applyBorder="1" applyAlignment="1" applyProtection="1">
      <alignment horizontal="left"/>
      <protection locked="0"/>
    </xf>
    <xf numFmtId="0" fontId="16" fillId="0" borderId="4" xfId="0" applyFont="1" applyFill="1" applyBorder="1" applyAlignment="1" applyProtection="1">
      <alignment horizontal="right"/>
      <protection locked="0"/>
    </xf>
    <xf numFmtId="38" fontId="15" fillId="3" borderId="4" xfId="0" applyNumberFormat="1" applyFont="1" applyFill="1" applyBorder="1" applyAlignment="1" applyProtection="1">
      <alignment horizontal="left" vertical="center" wrapText="1"/>
    </xf>
    <xf numFmtId="38" fontId="15" fillId="3" borderId="4" xfId="0" applyNumberFormat="1" applyFont="1" applyFill="1" applyBorder="1" applyAlignment="1" applyProtection="1">
      <alignment horizontal="left"/>
    </xf>
    <xf numFmtId="38" fontId="15" fillId="3" borderId="67" xfId="0" applyNumberFormat="1" applyFont="1" applyFill="1" applyBorder="1" applyAlignment="1" applyProtection="1">
      <alignment horizontal="right" vertical="center"/>
    </xf>
    <xf numFmtId="38" fontId="15" fillId="3" borderId="18" xfId="0" applyNumberFormat="1" applyFont="1" applyFill="1" applyBorder="1" applyAlignment="1" applyProtection="1">
      <alignment horizontal="left" vertical="center"/>
    </xf>
    <xf numFmtId="3" fontId="15" fillId="3" borderId="18" xfId="6" applyNumberFormat="1" applyFont="1" applyFill="1" applyBorder="1" applyAlignment="1" applyProtection="1">
      <alignment horizontal="right" vertical="center" wrapText="1"/>
    </xf>
    <xf numFmtId="3" fontId="15" fillId="3" borderId="67" xfId="6" applyNumberFormat="1" applyFont="1" applyFill="1" applyBorder="1" applyAlignment="1" applyProtection="1">
      <alignment horizontal="right" vertical="center" wrapText="1"/>
    </xf>
    <xf numFmtId="38" fontId="15" fillId="3" borderId="40" xfId="0" applyNumberFormat="1" applyFont="1" applyFill="1" applyBorder="1" applyAlignment="1" applyProtection="1">
      <alignment horizontal="right" vertical="center"/>
    </xf>
    <xf numFmtId="38" fontId="15" fillId="3" borderId="15" xfId="0" applyNumberFormat="1" applyFont="1" applyFill="1" applyBorder="1" applyAlignment="1" applyProtection="1">
      <alignment horizontal="left" vertical="center"/>
    </xf>
    <xf numFmtId="3" fontId="15" fillId="3" borderId="68" xfId="6" applyNumberFormat="1" applyFont="1" applyFill="1" applyBorder="1" applyAlignment="1" applyProtection="1">
      <alignment horizontal="right" vertical="center" wrapText="1"/>
    </xf>
    <xf numFmtId="3" fontId="15" fillId="3" borderId="40" xfId="6" applyNumberFormat="1" applyFont="1" applyFill="1" applyBorder="1" applyAlignment="1" applyProtection="1">
      <alignment horizontal="right" vertical="center" wrapText="1"/>
    </xf>
    <xf numFmtId="3" fontId="16" fillId="4" borderId="40" xfId="6" quotePrefix="1" applyNumberFormat="1" applyFont="1" applyFill="1" applyBorder="1" applyAlignment="1" applyProtection="1">
      <alignment horizontal="right" vertical="center" wrapText="1"/>
      <protection locked="0"/>
    </xf>
    <xf numFmtId="3" fontId="16" fillId="8" borderId="40" xfId="6" quotePrefix="1" applyNumberFormat="1" applyFont="1" applyFill="1" applyBorder="1" applyAlignment="1" applyProtection="1">
      <alignment horizontal="right" vertical="center" wrapText="1"/>
      <protection locked="0"/>
    </xf>
    <xf numFmtId="3" fontId="16" fillId="0" borderId="22" xfId="0" applyNumberFormat="1" applyFont="1" applyFill="1" applyBorder="1" applyAlignment="1" applyProtection="1">
      <alignment horizontal="left"/>
    </xf>
    <xf numFmtId="165" fontId="16" fillId="0" borderId="4" xfId="0" applyNumberFormat="1" applyFont="1" applyFill="1" applyBorder="1" applyAlignment="1" applyProtection="1">
      <alignment horizontal="left"/>
      <protection locked="0"/>
    </xf>
    <xf numFmtId="165" fontId="16" fillId="4" borderId="4" xfId="0" applyNumberFormat="1" applyFont="1" applyFill="1" applyBorder="1" applyAlignment="1" applyProtection="1">
      <alignment horizontal="left"/>
      <protection locked="0"/>
    </xf>
    <xf numFmtId="165" fontId="16" fillId="8" borderId="4" xfId="0" applyNumberFormat="1" applyFont="1" applyFill="1" applyBorder="1" applyAlignment="1" applyProtection="1">
      <alignment horizontal="left"/>
      <protection locked="0"/>
    </xf>
    <xf numFmtId="3" fontId="19" fillId="0" borderId="22" xfId="0" applyNumberFormat="1" applyFont="1" applyFill="1" applyBorder="1" applyAlignment="1" applyProtection="1">
      <alignment horizontal="left"/>
    </xf>
    <xf numFmtId="165" fontId="16" fillId="0" borderId="1" xfId="0" applyNumberFormat="1" applyFont="1" applyFill="1" applyBorder="1" applyAlignment="1" applyProtection="1">
      <alignment horizontal="left" vertical="center"/>
    </xf>
    <xf numFmtId="38" fontId="15" fillId="0" borderId="67" xfId="0" applyNumberFormat="1" applyFont="1" applyFill="1" applyBorder="1" applyAlignment="1" applyProtection="1">
      <alignment horizontal="left" vertical="center"/>
    </xf>
    <xf numFmtId="0" fontId="16" fillId="0" borderId="23" xfId="0" applyFont="1" applyBorder="1" applyAlignment="1">
      <alignment horizontal="left" vertical="center" wrapText="1"/>
    </xf>
    <xf numFmtId="165" fontId="16" fillId="0" borderId="25" xfId="0" applyNumberFormat="1" applyFont="1" applyFill="1" applyBorder="1" applyAlignment="1" applyProtection="1">
      <alignment horizontal="right" vertical="center" wrapText="1"/>
      <protection locked="0"/>
    </xf>
    <xf numFmtId="165" fontId="16" fillId="4" borderId="25" xfId="0" applyNumberFormat="1" applyFont="1" applyFill="1" applyBorder="1" applyAlignment="1" applyProtection="1">
      <alignment horizontal="right" vertical="center" wrapText="1"/>
      <protection locked="0"/>
    </xf>
    <xf numFmtId="165" fontId="16" fillId="8" borderId="25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4" xfId="0" applyFont="1" applyBorder="1" applyAlignment="1">
      <alignment horizontal="left" vertical="center" wrapText="1"/>
    </xf>
    <xf numFmtId="165" fontId="16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6" fillId="3" borderId="4" xfId="0" applyFont="1" applyFill="1" applyBorder="1" applyAlignment="1">
      <alignment horizontal="left" vertical="center" wrapText="1"/>
    </xf>
    <xf numFmtId="165" fontId="16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4" xfId="0" applyFont="1" applyBorder="1" applyAlignment="1">
      <alignment horizontal="right" vertical="center" wrapText="1"/>
    </xf>
    <xf numFmtId="165" fontId="17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3" xfId="0" applyNumberFormat="1" applyFont="1" applyFill="1" applyBorder="1" applyAlignment="1" applyProtection="1">
      <alignment horizontal="right" vertical="center" wrapText="1"/>
    </xf>
    <xf numFmtId="0" fontId="15" fillId="3" borderId="4" xfId="0" applyFont="1" applyFill="1" applyBorder="1" applyAlignment="1">
      <alignment horizontal="left" vertical="center" wrapText="1"/>
    </xf>
    <xf numFmtId="165" fontId="15" fillId="3" borderId="3" xfId="0" applyNumberFormat="1" applyFont="1" applyFill="1" applyBorder="1" applyAlignment="1" applyProtection="1">
      <alignment horizontal="right" vertical="center" wrapText="1"/>
    </xf>
    <xf numFmtId="0" fontId="15" fillId="0" borderId="4" xfId="0" applyFont="1" applyBorder="1" applyAlignment="1">
      <alignment horizontal="left" vertical="center" wrapText="1"/>
    </xf>
    <xf numFmtId="165" fontId="15" fillId="0" borderId="3" xfId="0" applyNumberFormat="1" applyFont="1" applyFill="1" applyBorder="1" applyAlignment="1" applyProtection="1">
      <alignment horizontal="right" vertical="center" wrapText="1"/>
    </xf>
    <xf numFmtId="165" fontId="15" fillId="0" borderId="25" xfId="0" applyNumberFormat="1" applyFont="1" applyFill="1" applyBorder="1" applyAlignment="1" applyProtection="1">
      <alignment horizontal="right" vertical="center"/>
      <protection locked="0"/>
    </xf>
    <xf numFmtId="165" fontId="17" fillId="0" borderId="3" xfId="1" applyNumberFormat="1" applyFont="1" applyFill="1" applyBorder="1" applyAlignment="1" applyProtection="1">
      <alignment horizontal="right" vertical="center" wrapText="1"/>
    </xf>
    <xf numFmtId="165" fontId="17" fillId="0" borderId="25" xfId="1" applyNumberFormat="1" applyFont="1" applyFill="1" applyBorder="1" applyAlignment="1" applyProtection="1">
      <alignment horizontal="right" vertical="center" wrapText="1"/>
      <protection locked="0"/>
    </xf>
    <xf numFmtId="165" fontId="17" fillId="0" borderId="3" xfId="1" applyNumberFormat="1" applyFont="1" applyFill="1" applyBorder="1" applyAlignment="1" applyProtection="1">
      <alignment horizontal="right" vertical="center" wrapText="1"/>
      <protection locked="0"/>
    </xf>
    <xf numFmtId="0" fontId="15" fillId="0" borderId="23" xfId="0" applyFont="1" applyBorder="1" applyAlignment="1">
      <alignment horizontal="left" vertical="center" wrapText="1"/>
    </xf>
    <xf numFmtId="165" fontId="15" fillId="0" borderId="25" xfId="0" applyNumberFormat="1" applyFont="1" applyFill="1" applyBorder="1" applyAlignment="1" applyProtection="1">
      <alignment horizontal="right" vertical="center" wrapText="1"/>
    </xf>
    <xf numFmtId="165" fontId="15" fillId="3" borderId="3" xfId="5" applyNumberFormat="1" applyFont="1" applyFill="1" applyBorder="1" applyAlignment="1" applyProtection="1">
      <alignment horizontal="right" vertical="center" wrapText="1"/>
    </xf>
    <xf numFmtId="165" fontId="17" fillId="0" borderId="6" xfId="1" applyNumberFormat="1" applyFont="1" applyFill="1" applyBorder="1" applyAlignment="1" applyProtection="1">
      <alignment horizontal="right" vertical="center" wrapText="1"/>
      <protection locked="0"/>
    </xf>
    <xf numFmtId="0" fontId="16" fillId="3" borderId="23" xfId="0" applyFont="1" applyFill="1" applyBorder="1" applyAlignment="1">
      <alignment horizontal="right" vertical="center" wrapText="1"/>
    </xf>
    <xf numFmtId="165" fontId="16" fillId="3" borderId="25" xfId="0" applyNumberFormat="1" applyFont="1" applyFill="1" applyBorder="1" applyAlignment="1" applyProtection="1">
      <alignment horizontal="right" vertical="center" wrapText="1"/>
    </xf>
    <xf numFmtId="165" fontId="17" fillId="0" borderId="3" xfId="5" applyNumberFormat="1" applyFont="1" applyFill="1" applyBorder="1" applyAlignment="1" applyProtection="1">
      <alignment horizontal="right" vertical="center" wrapText="1"/>
    </xf>
    <xf numFmtId="165" fontId="17" fillId="0" borderId="3" xfId="5" applyNumberFormat="1" applyFont="1" applyFill="1" applyBorder="1" applyAlignment="1" applyProtection="1">
      <alignment horizontal="right" vertical="center" wrapText="1"/>
      <protection locked="0"/>
    </xf>
    <xf numFmtId="165" fontId="17" fillId="3" borderId="3" xfId="5" applyNumberFormat="1" applyFont="1" applyFill="1" applyBorder="1" applyAlignment="1" applyProtection="1">
      <alignment horizontal="right" vertical="center" wrapText="1"/>
    </xf>
    <xf numFmtId="165" fontId="17" fillId="0" borderId="3" xfId="0" applyNumberFormat="1" applyFont="1" applyFill="1" applyBorder="1" applyAlignment="1" applyProtection="1">
      <alignment vertical="center"/>
      <protection locked="0"/>
    </xf>
    <xf numFmtId="165" fontId="18" fillId="3" borderId="3" xfId="5" applyNumberFormat="1" applyFont="1" applyFill="1" applyBorder="1" applyAlignment="1" applyProtection="1">
      <alignment horizontal="right" vertical="center" wrapText="1"/>
    </xf>
    <xf numFmtId="165" fontId="17" fillId="0" borderId="25" xfId="0" applyNumberFormat="1" applyFont="1" applyFill="1" applyBorder="1" applyAlignment="1" applyProtection="1">
      <alignment horizontal="right" vertical="center"/>
      <protection locked="0"/>
    </xf>
    <xf numFmtId="165" fontId="17" fillId="0" borderId="25" xfId="0" applyNumberFormat="1" applyFont="1" applyFill="1" applyBorder="1" applyAlignment="1" applyProtection="1">
      <alignment vertical="center"/>
      <protection locked="0"/>
    </xf>
    <xf numFmtId="165" fontId="17" fillId="0" borderId="25" xfId="5" applyNumberFormat="1" applyFont="1" applyFill="1" applyBorder="1" applyAlignment="1" applyProtection="1">
      <alignment horizontal="right" vertical="center" wrapText="1"/>
      <protection locked="0"/>
    </xf>
    <xf numFmtId="165" fontId="18" fillId="0" borderId="3" xfId="5" applyNumberFormat="1" applyFont="1" applyFill="1" applyBorder="1" applyAlignment="1" applyProtection="1">
      <alignment horizontal="right" vertical="center" wrapText="1"/>
      <protection locked="0"/>
    </xf>
    <xf numFmtId="165" fontId="15" fillId="0" borderId="3" xfId="0" applyNumberFormat="1" applyFont="1" applyFill="1" applyBorder="1" applyAlignment="1" applyProtection="1">
      <alignment horizontal="left" vertical="center" wrapText="1"/>
    </xf>
    <xf numFmtId="165" fontId="18" fillId="0" borderId="25" xfId="5" applyNumberFormat="1" applyFont="1" applyFill="1" applyBorder="1" applyAlignment="1" applyProtection="1">
      <alignment horizontal="right" vertical="center" wrapText="1"/>
      <protection locked="0"/>
    </xf>
    <xf numFmtId="165" fontId="16" fillId="3" borderId="3" xfId="0" applyNumberFormat="1" applyFont="1" applyFill="1" applyBorder="1" applyAlignment="1" applyProtection="1">
      <alignment horizontal="right" vertical="center" wrapText="1"/>
    </xf>
    <xf numFmtId="165" fontId="17" fillId="0" borderId="6" xfId="5" applyNumberFormat="1" applyFont="1" applyFill="1" applyBorder="1" applyAlignment="1" applyProtection="1">
      <alignment horizontal="right" vertical="center" wrapText="1"/>
      <protection locked="0"/>
    </xf>
    <xf numFmtId="165" fontId="17" fillId="0" borderId="6" xfId="0" applyNumberFormat="1" applyFont="1" applyFill="1" applyBorder="1" applyAlignment="1" applyProtection="1">
      <alignment horizontal="right" vertical="center"/>
      <protection locked="0"/>
    </xf>
    <xf numFmtId="165" fontId="16" fillId="0" borderId="25" xfId="0" applyNumberFormat="1" applyFont="1" applyFill="1" applyBorder="1" applyAlignment="1" applyProtection="1">
      <alignment horizontal="right" vertical="center" wrapText="1"/>
    </xf>
    <xf numFmtId="165" fontId="16" fillId="0" borderId="25" xfId="0" applyNumberFormat="1" applyFont="1" applyFill="1" applyBorder="1" applyAlignment="1" applyProtection="1">
      <alignment horizontal="right" vertical="center"/>
      <protection locked="0"/>
    </xf>
    <xf numFmtId="165" fontId="17" fillId="3" borderId="3" xfId="5" applyNumberFormat="1" applyFont="1" applyFill="1" applyBorder="1" applyAlignment="1" applyProtection="1">
      <alignment horizontal="right" vertical="center" wrapText="1"/>
      <protection locked="0"/>
    </xf>
    <xf numFmtId="0" fontId="16" fillId="0" borderId="4" xfId="0" applyFont="1" applyFill="1" applyBorder="1" applyAlignment="1">
      <alignment horizontal="left" vertical="center" wrapText="1"/>
    </xf>
    <xf numFmtId="165" fontId="16" fillId="0" borderId="3" xfId="5" applyNumberFormat="1" applyFont="1" applyFill="1" applyBorder="1" applyAlignment="1" applyProtection="1">
      <alignment horizontal="right" vertical="center" wrapText="1"/>
    </xf>
    <xf numFmtId="165" fontId="17" fillId="0" borderId="72" xfId="5" applyNumberFormat="1" applyFont="1" applyFill="1" applyBorder="1" applyAlignment="1" applyProtection="1">
      <alignment horizontal="right" vertical="center" wrapText="1"/>
      <protection locked="0"/>
    </xf>
    <xf numFmtId="165" fontId="15" fillId="0" borderId="3" xfId="0" applyNumberFormat="1" applyFont="1" applyFill="1" applyBorder="1" applyAlignment="1" applyProtection="1">
      <alignment horizontal="right" vertical="center"/>
      <protection locked="0"/>
    </xf>
    <xf numFmtId="0" fontId="15" fillId="0" borderId="23" xfId="0" applyFont="1" applyFill="1" applyBorder="1" applyAlignment="1">
      <alignment horizontal="left" vertical="center" wrapText="1"/>
    </xf>
    <xf numFmtId="165" fontId="15" fillId="0" borderId="3" xfId="0" applyNumberFormat="1" applyFont="1" applyFill="1" applyBorder="1" applyAlignment="1" applyProtection="1">
      <alignment horizontal="left" vertical="center"/>
      <protection locked="0"/>
    </xf>
    <xf numFmtId="165" fontId="15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8" fillId="0" borderId="3" xfId="0" applyNumberFormat="1" applyFont="1" applyFill="1" applyBorder="1" applyAlignment="1" applyProtection="1">
      <alignment horizontal="right" vertical="center"/>
      <protection locked="0"/>
    </xf>
    <xf numFmtId="165" fontId="18" fillId="0" borderId="3" xfId="0" applyNumberFormat="1" applyFont="1" applyFill="1" applyBorder="1" applyAlignment="1" applyProtection="1">
      <alignment horizontal="left" vertical="center"/>
      <protection locked="0"/>
    </xf>
    <xf numFmtId="165" fontId="18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5" fillId="0" borderId="3" xfId="5" applyNumberFormat="1" applyFont="1" applyFill="1" applyBorder="1" applyAlignment="1" applyProtection="1">
      <alignment horizontal="right" vertical="center"/>
    </xf>
    <xf numFmtId="165" fontId="15" fillId="0" borderId="6" xfId="0" applyNumberFormat="1" applyFont="1" applyFill="1" applyBorder="1" applyAlignment="1" applyProtection="1">
      <alignment horizontal="right" vertical="center"/>
      <protection locked="0"/>
    </xf>
    <xf numFmtId="165" fontId="15" fillId="0" borderId="6" xfId="0" applyNumberFormat="1" applyFont="1" applyFill="1" applyBorder="1" applyAlignment="1" applyProtection="1">
      <alignment horizontal="right" vertical="center" wrapText="1"/>
      <protection locked="0"/>
    </xf>
    <xf numFmtId="165" fontId="15" fillId="0" borderId="25" xfId="0" applyNumberFormat="1" applyFont="1" applyFill="1" applyBorder="1" applyAlignment="1" applyProtection="1">
      <alignment horizontal="right" vertical="center" wrapText="1"/>
      <protection locked="0"/>
    </xf>
    <xf numFmtId="165" fontId="18" fillId="3" borderId="3" xfId="1" applyNumberFormat="1" applyFont="1" applyFill="1" applyBorder="1" applyAlignment="1" applyProtection="1">
      <alignment horizontal="right" vertical="center" wrapText="1"/>
    </xf>
    <xf numFmtId="165" fontId="16" fillId="0" borderId="3" xfId="1" applyNumberFormat="1" applyFont="1" applyFill="1" applyBorder="1" applyAlignment="1" applyProtection="1">
      <alignment horizontal="right" vertical="center" wrapText="1"/>
    </xf>
    <xf numFmtId="165" fontId="15" fillId="0" borderId="3" xfId="1" applyNumberFormat="1" applyFont="1" applyFill="1" applyBorder="1" applyAlignment="1" applyProtection="1">
      <alignment horizontal="right" vertical="center" wrapText="1"/>
    </xf>
    <xf numFmtId="165" fontId="16" fillId="0" borderId="16" xfId="0" applyNumberFormat="1" applyFont="1" applyFill="1" applyBorder="1" applyAlignment="1" applyProtection="1">
      <alignment horizontal="right" vertical="center"/>
    </xf>
    <xf numFmtId="165" fontId="17" fillId="0" borderId="3" xfId="0" applyNumberFormat="1" applyFont="1" applyFill="1" applyBorder="1" applyAlignment="1" applyProtection="1">
      <alignment horizontal="right" vertical="center" wrapText="1"/>
    </xf>
    <xf numFmtId="165" fontId="15" fillId="3" borderId="3" xfId="0" applyNumberFormat="1" applyFont="1" applyFill="1" applyBorder="1" applyAlignment="1" applyProtection="1">
      <alignment horizontal="right" vertical="center"/>
    </xf>
    <xf numFmtId="165" fontId="15" fillId="0" borderId="16" xfId="0" applyNumberFormat="1" applyFont="1" applyFill="1" applyBorder="1" applyAlignment="1" applyProtection="1">
      <alignment horizontal="right" vertical="center"/>
    </xf>
    <xf numFmtId="165" fontId="16" fillId="0" borderId="7" xfId="0" applyNumberFormat="1" applyFont="1" applyFill="1" applyBorder="1" applyProtection="1"/>
    <xf numFmtId="165" fontId="16" fillId="0" borderId="41" xfId="0" applyNumberFormat="1" applyFont="1" applyFill="1" applyBorder="1" applyAlignment="1" applyProtection="1">
      <alignment horizontal="center"/>
    </xf>
    <xf numFmtId="165" fontId="15" fillId="0" borderId="28" xfId="0" applyNumberFormat="1" applyFont="1" applyFill="1" applyBorder="1" applyAlignment="1" applyProtection="1">
      <alignment vertical="center"/>
    </xf>
    <xf numFmtId="165" fontId="16" fillId="0" borderId="23" xfId="0" applyNumberFormat="1" applyFont="1" applyFill="1" applyBorder="1" applyProtection="1">
      <protection locked="0"/>
    </xf>
    <xf numFmtId="165" fontId="15" fillId="0" borderId="24" xfId="0" applyNumberFormat="1" applyFont="1" applyFill="1" applyBorder="1" applyAlignment="1" applyProtection="1">
      <alignment vertical="center"/>
    </xf>
    <xf numFmtId="165" fontId="16" fillId="0" borderId="4" xfId="0" applyNumberFormat="1" applyFont="1" applyFill="1" applyBorder="1" applyProtection="1">
      <protection locked="0"/>
    </xf>
    <xf numFmtId="165" fontId="15" fillId="3" borderId="24" xfId="0" applyNumberFormat="1" applyFont="1" applyFill="1" applyBorder="1" applyAlignment="1" applyProtection="1">
      <alignment vertical="center"/>
    </xf>
    <xf numFmtId="165" fontId="16" fillId="3" borderId="4" xfId="0" applyNumberFormat="1" applyFont="1" applyFill="1" applyBorder="1" applyProtection="1">
      <protection locked="0"/>
    </xf>
    <xf numFmtId="165" fontId="18" fillId="0" borderId="24" xfId="0" applyNumberFormat="1" applyFont="1" applyFill="1" applyBorder="1" applyAlignment="1" applyProtection="1">
      <alignment vertical="center"/>
    </xf>
    <xf numFmtId="165" fontId="17" fillId="0" borderId="4" xfId="0" applyNumberFormat="1" applyFont="1" applyFill="1" applyBorder="1" applyProtection="1">
      <protection locked="0"/>
    </xf>
    <xf numFmtId="165" fontId="17" fillId="0" borderId="4" xfId="0" applyNumberFormat="1" applyFont="1" applyFill="1" applyBorder="1" applyAlignment="1" applyProtection="1">
      <alignment vertical="center"/>
      <protection locked="0"/>
    </xf>
    <xf numFmtId="165" fontId="15" fillId="3" borderId="28" xfId="0" applyNumberFormat="1" applyFont="1" applyFill="1" applyBorder="1" applyAlignment="1" applyProtection="1">
      <alignment horizontal="right" vertical="center"/>
    </xf>
    <xf numFmtId="165" fontId="15" fillId="3" borderId="23" xfId="0" applyNumberFormat="1" applyFont="1" applyFill="1" applyBorder="1" applyAlignment="1" applyProtection="1">
      <alignment horizontal="right"/>
    </xf>
    <xf numFmtId="165" fontId="15" fillId="0" borderId="28" xfId="0" applyNumberFormat="1" applyFont="1" applyFill="1" applyBorder="1" applyAlignment="1" applyProtection="1">
      <alignment horizontal="right" vertical="center"/>
    </xf>
    <xf numFmtId="165" fontId="15" fillId="0" borderId="23" xfId="0" applyNumberFormat="1" applyFont="1" applyFill="1" applyBorder="1" applyAlignment="1" applyProtection="1">
      <alignment horizontal="right"/>
      <protection locked="0"/>
    </xf>
    <xf numFmtId="165" fontId="15" fillId="3" borderId="24" xfId="0" applyNumberFormat="1" applyFont="1" applyFill="1" applyBorder="1" applyAlignment="1" applyProtection="1">
      <alignment horizontal="right" vertical="center"/>
    </xf>
    <xf numFmtId="165" fontId="15" fillId="3" borderId="4" xfId="0" applyNumberFormat="1" applyFont="1" applyFill="1" applyBorder="1" applyAlignment="1" applyProtection="1">
      <alignment horizontal="right"/>
    </xf>
    <xf numFmtId="165" fontId="18" fillId="0" borderId="28" xfId="0" applyNumberFormat="1" applyFont="1" applyFill="1" applyBorder="1" applyAlignment="1" applyProtection="1">
      <alignment vertical="center"/>
    </xf>
    <xf numFmtId="165" fontId="17" fillId="0" borderId="23" xfId="0" applyNumberFormat="1" applyFont="1" applyFill="1" applyBorder="1" applyAlignment="1" applyProtection="1">
      <protection locked="0"/>
    </xf>
    <xf numFmtId="165" fontId="17" fillId="0" borderId="4" xfId="0" applyNumberFormat="1" applyFont="1" applyFill="1" applyBorder="1" applyAlignment="1" applyProtection="1">
      <protection locked="0"/>
    </xf>
    <xf numFmtId="165" fontId="17" fillId="0" borderId="4" xfId="0" applyNumberFormat="1" applyFont="1" applyFill="1" applyBorder="1" applyAlignment="1" applyProtection="1">
      <alignment horizontal="right"/>
      <protection locked="0"/>
    </xf>
    <xf numFmtId="165" fontId="15" fillId="3" borderId="24" xfId="0" applyNumberFormat="1" applyFont="1" applyFill="1" applyBorder="1" applyAlignment="1" applyProtection="1">
      <alignment horizontal="left" vertical="center"/>
    </xf>
    <xf numFmtId="165" fontId="15" fillId="3" borderId="4" xfId="0" applyNumberFormat="1" applyFont="1" applyFill="1" applyBorder="1" applyAlignment="1" applyProtection="1">
      <alignment horizontal="left"/>
    </xf>
    <xf numFmtId="165" fontId="17" fillId="0" borderId="23" xfId="0" applyNumberFormat="1" applyFont="1" applyFill="1" applyBorder="1" applyProtection="1">
      <protection locked="0"/>
    </xf>
    <xf numFmtId="0" fontId="15" fillId="3" borderId="18" xfId="0" applyFont="1" applyFill="1" applyBorder="1" applyAlignment="1">
      <alignment horizontal="left" vertical="center" wrapText="1"/>
    </xf>
    <xf numFmtId="165" fontId="15" fillId="3" borderId="39" xfId="0" applyNumberFormat="1" applyFont="1" applyFill="1" applyBorder="1" applyAlignment="1" applyProtection="1">
      <alignment horizontal="right" vertical="center"/>
    </xf>
    <xf numFmtId="165" fontId="15" fillId="3" borderId="67" xfId="5" applyNumberFormat="1" applyFont="1" applyFill="1" applyBorder="1" applyAlignment="1" applyProtection="1">
      <alignment horizontal="right" vertical="center" wrapText="1"/>
    </xf>
    <xf numFmtId="165" fontId="15" fillId="3" borderId="18" xfId="0" applyNumberFormat="1" applyFont="1" applyFill="1" applyBorder="1" applyAlignment="1" applyProtection="1">
      <alignment horizontal="right"/>
    </xf>
    <xf numFmtId="165" fontId="17" fillId="0" borderId="23" xfId="0" applyNumberFormat="1" applyFont="1" applyFill="1" applyBorder="1" applyAlignment="1" applyProtection="1">
      <alignment horizontal="right"/>
      <protection locked="0"/>
    </xf>
    <xf numFmtId="165" fontId="18" fillId="0" borderId="36" xfId="0" applyNumberFormat="1" applyFont="1" applyFill="1" applyBorder="1" applyAlignment="1" applyProtection="1">
      <alignment vertical="center"/>
    </xf>
    <xf numFmtId="165" fontId="17" fillId="0" borderId="7" xfId="0" applyNumberFormat="1" applyFont="1" applyFill="1" applyBorder="1" applyProtection="1">
      <protection locked="0"/>
    </xf>
    <xf numFmtId="165" fontId="16" fillId="3" borderId="23" xfId="0" applyNumberFormat="1" applyFont="1" applyFill="1" applyBorder="1" applyAlignment="1" applyProtection="1">
      <alignment horizontal="right"/>
    </xf>
    <xf numFmtId="165" fontId="16" fillId="3" borderId="4" xfId="0" applyNumberFormat="1" applyFont="1" applyFill="1" applyBorder="1" applyAlignment="1" applyProtection="1">
      <alignment horizontal="right"/>
    </xf>
    <xf numFmtId="165" fontId="16" fillId="3" borderId="4" xfId="0" applyNumberFormat="1" applyFont="1" applyFill="1" applyBorder="1" applyAlignment="1" applyProtection="1">
      <alignment horizontal="left"/>
    </xf>
    <xf numFmtId="165" fontId="15" fillId="3" borderId="18" xfId="0" applyNumberFormat="1" applyFont="1" applyFill="1" applyBorder="1" applyAlignment="1" applyProtection="1">
      <alignment horizontal="left" vertical="center"/>
    </xf>
    <xf numFmtId="165" fontId="18" fillId="3" borderId="67" xfId="5" applyNumberFormat="1" applyFont="1" applyFill="1" applyBorder="1" applyAlignment="1" applyProtection="1">
      <alignment horizontal="right" vertical="center" wrapText="1"/>
    </xf>
    <xf numFmtId="165" fontId="16" fillId="3" borderId="18" xfId="0" applyNumberFormat="1" applyFont="1" applyFill="1" applyBorder="1" applyAlignment="1" applyProtection="1">
      <alignment horizontal="left"/>
    </xf>
    <xf numFmtId="165" fontId="16" fillId="0" borderId="23" xfId="0" applyNumberFormat="1" applyFont="1" applyFill="1" applyBorder="1" applyAlignment="1" applyProtection="1">
      <alignment horizontal="right"/>
      <protection locked="0"/>
    </xf>
    <xf numFmtId="165" fontId="18" fillId="0" borderId="24" xfId="0" applyNumberFormat="1" applyFont="1" applyFill="1" applyBorder="1" applyAlignment="1" applyProtection="1">
      <alignment horizontal="right" vertical="center"/>
    </xf>
    <xf numFmtId="165" fontId="17" fillId="0" borderId="4" xfId="0" applyNumberFormat="1" applyFont="1" applyFill="1" applyBorder="1" applyAlignment="1" applyProtection="1">
      <alignment horizontal="right" vertical="center"/>
      <protection locked="0"/>
    </xf>
    <xf numFmtId="165" fontId="15" fillId="0" borderId="24" xfId="0" applyNumberFormat="1" applyFont="1" applyFill="1" applyBorder="1" applyAlignment="1" applyProtection="1">
      <alignment horizontal="right" vertical="center"/>
    </xf>
    <xf numFmtId="165" fontId="16" fillId="0" borderId="4" xfId="0" applyNumberFormat="1" applyFont="1" applyFill="1" applyBorder="1" applyAlignment="1" applyProtection="1">
      <alignment horizontal="right"/>
    </xf>
    <xf numFmtId="165" fontId="16" fillId="3" borderId="4" xfId="0" applyNumberFormat="1" applyFont="1" applyFill="1" applyBorder="1" applyAlignment="1" applyProtection="1">
      <alignment horizontal="right"/>
      <protection locked="0"/>
    </xf>
    <xf numFmtId="165" fontId="18" fillId="0" borderId="40" xfId="0" applyNumberFormat="1" applyFont="1" applyFill="1" applyBorder="1" applyAlignment="1" applyProtection="1">
      <alignment horizontal="right" vertical="center"/>
    </xf>
    <xf numFmtId="165" fontId="17" fillId="0" borderId="15" xfId="0" applyNumberFormat="1" applyFont="1" applyFill="1" applyBorder="1" applyAlignment="1" applyProtection="1">
      <alignment horizontal="right"/>
      <protection locked="0"/>
    </xf>
    <xf numFmtId="165" fontId="18" fillId="3" borderId="67" xfId="5" applyNumberFormat="1" applyFont="1" applyFill="1" applyBorder="1" applyAlignment="1" applyProtection="1">
      <alignment horizontal="right" vertical="center"/>
    </xf>
    <xf numFmtId="165" fontId="15" fillId="0" borderId="23" xfId="0" applyNumberFormat="1" applyFont="1" applyFill="1" applyBorder="1" applyAlignment="1" applyProtection="1">
      <alignment horizontal="right"/>
    </xf>
    <xf numFmtId="165" fontId="15" fillId="0" borderId="4" xfId="0" applyNumberFormat="1" applyFont="1" applyFill="1" applyBorder="1" applyAlignment="1" applyProtection="1">
      <alignment horizontal="left"/>
      <protection locked="0"/>
    </xf>
    <xf numFmtId="165" fontId="18" fillId="0" borderId="4" xfId="0" applyNumberFormat="1" applyFont="1" applyFill="1" applyBorder="1" applyAlignment="1" applyProtection="1">
      <alignment horizontal="left"/>
      <protection locked="0"/>
    </xf>
    <xf numFmtId="165" fontId="15" fillId="0" borderId="4" xfId="0" applyNumberFormat="1" applyFont="1" applyFill="1" applyBorder="1" applyAlignment="1" applyProtection="1">
      <alignment horizontal="right"/>
      <protection locked="0"/>
    </xf>
    <xf numFmtId="165" fontId="15" fillId="0" borderId="36" xfId="0" applyNumberFormat="1" applyFont="1" applyFill="1" applyBorder="1" applyAlignment="1" applyProtection="1">
      <alignment horizontal="right" vertical="center"/>
    </xf>
    <xf numFmtId="165" fontId="15" fillId="0" borderId="7" xfId="0" applyNumberFormat="1" applyFont="1" applyFill="1" applyBorder="1" applyAlignment="1" applyProtection="1">
      <alignment horizontal="right"/>
      <protection locked="0"/>
    </xf>
    <xf numFmtId="165" fontId="15" fillId="3" borderId="18" xfId="0" applyNumberFormat="1" applyFont="1" applyFill="1" applyBorder="1" applyAlignment="1" applyProtection="1">
      <alignment horizontal="right" vertical="center"/>
    </xf>
    <xf numFmtId="165" fontId="15" fillId="3" borderId="67" xfId="0" applyNumberFormat="1" applyFont="1" applyFill="1" applyBorder="1" applyAlignment="1" applyProtection="1">
      <alignment horizontal="right" vertical="center" wrapText="1"/>
    </xf>
    <xf numFmtId="165" fontId="15" fillId="3" borderId="39" xfId="0" applyNumberFormat="1" applyFont="1" applyFill="1" applyBorder="1" applyAlignment="1" applyProtection="1">
      <alignment horizontal="left" vertical="center"/>
    </xf>
    <xf numFmtId="165" fontId="16" fillId="3" borderId="18" xfId="0" applyNumberFormat="1" applyFont="1" applyFill="1" applyBorder="1" applyAlignment="1" applyProtection="1">
      <alignment horizontal="left" vertical="center"/>
    </xf>
    <xf numFmtId="165" fontId="17" fillId="0" borderId="7" xfId="0" applyNumberFormat="1" applyFont="1" applyFill="1" applyBorder="1" applyAlignment="1" applyProtection="1">
      <alignment horizontal="right"/>
      <protection locked="0"/>
    </xf>
    <xf numFmtId="0" fontId="15" fillId="3" borderId="81" xfId="0" applyFont="1" applyFill="1" applyBorder="1" applyAlignment="1">
      <alignment horizontal="left" vertical="center" wrapText="1"/>
    </xf>
    <xf numFmtId="165" fontId="15" fillId="3" borderId="82" xfId="0" applyNumberFormat="1" applyFont="1" applyFill="1" applyBorder="1" applyAlignment="1" applyProtection="1">
      <alignment horizontal="right" vertical="center"/>
    </xf>
    <xf numFmtId="165" fontId="15" fillId="3" borderId="8" xfId="0" applyNumberFormat="1" applyFont="1" applyFill="1" applyBorder="1" applyAlignment="1" applyProtection="1">
      <alignment horizontal="right" vertical="center" wrapText="1"/>
    </xf>
    <xf numFmtId="165" fontId="15" fillId="0" borderId="4" xfId="0" applyNumberFormat="1" applyFont="1" applyFill="1" applyBorder="1" applyAlignment="1" applyProtection="1">
      <alignment horizontal="right" vertical="center"/>
    </xf>
    <xf numFmtId="165" fontId="15" fillId="0" borderId="4" xfId="0" applyNumberFormat="1" applyFont="1" applyFill="1" applyBorder="1" applyAlignment="1" applyProtection="1">
      <alignment horizontal="right" vertical="center"/>
      <protection locked="0"/>
    </xf>
    <xf numFmtId="165" fontId="15" fillId="3" borderId="67" xfId="0" applyNumberFormat="1" applyFont="1" applyFill="1" applyBorder="1" applyAlignment="1" applyProtection="1">
      <alignment horizontal="right" vertical="center"/>
    </xf>
    <xf numFmtId="165" fontId="15" fillId="3" borderId="8" xfId="0" applyNumberFormat="1" applyFont="1" applyFill="1" applyBorder="1" applyAlignment="1" applyProtection="1">
      <alignment horizontal="right" vertical="center"/>
    </xf>
    <xf numFmtId="165" fontId="15" fillId="3" borderId="81" xfId="0" applyNumberFormat="1" applyFont="1" applyFill="1" applyBorder="1" applyAlignment="1" applyProtection="1">
      <alignment horizontal="right" vertical="center"/>
    </xf>
    <xf numFmtId="165" fontId="16" fillId="0" borderId="23" xfId="0" applyNumberFormat="1" applyFont="1" applyFill="1" applyBorder="1" applyAlignment="1" applyProtection="1">
      <alignment horizontal="left" vertical="center"/>
      <protection locked="0"/>
    </xf>
    <xf numFmtId="165" fontId="15" fillId="0" borderId="23" xfId="0" applyNumberFormat="1" applyFont="1" applyFill="1" applyBorder="1" applyAlignment="1" applyProtection="1">
      <alignment vertical="center"/>
    </xf>
    <xf numFmtId="165" fontId="16" fillId="0" borderId="23" xfId="0" applyNumberFormat="1" applyFont="1" applyFill="1" applyBorder="1" applyAlignment="1" applyProtection="1">
      <alignment horizontal="right"/>
    </xf>
    <xf numFmtId="165" fontId="16" fillId="0" borderId="28" xfId="0" applyNumberFormat="1" applyFont="1" applyFill="1" applyBorder="1" applyProtection="1">
      <protection locked="0"/>
    </xf>
    <xf numFmtId="165" fontId="16" fillId="4" borderId="23" xfId="0" applyNumberFormat="1" applyFont="1" applyFill="1" applyBorder="1" applyProtection="1">
      <protection locked="0"/>
    </xf>
    <xf numFmtId="165" fontId="16" fillId="8" borderId="23" xfId="0" applyNumberFormat="1" applyFont="1" applyFill="1" applyBorder="1" applyProtection="1">
      <protection locked="0"/>
    </xf>
    <xf numFmtId="165" fontId="16" fillId="0" borderId="4" xfId="0" applyNumberFormat="1" applyFont="1" applyFill="1" applyBorder="1" applyAlignment="1" applyProtection="1">
      <alignment horizontal="left" vertical="center"/>
      <protection locked="0"/>
    </xf>
    <xf numFmtId="165" fontId="15" fillId="0" borderId="4" xfId="0" applyNumberFormat="1" applyFont="1" applyFill="1" applyBorder="1" applyAlignment="1" applyProtection="1">
      <alignment vertical="center"/>
    </xf>
    <xf numFmtId="165" fontId="16" fillId="0" borderId="24" xfId="0" applyNumberFormat="1" applyFont="1" applyFill="1" applyBorder="1" applyProtection="1">
      <protection locked="0"/>
    </xf>
    <xf numFmtId="165" fontId="16" fillId="4" borderId="4" xfId="0" applyNumberFormat="1" applyFont="1" applyFill="1" applyBorder="1" applyProtection="1">
      <protection locked="0"/>
    </xf>
    <xf numFmtId="165" fontId="16" fillId="8" borderId="4" xfId="0" applyNumberFormat="1" applyFont="1" applyFill="1" applyBorder="1" applyProtection="1">
      <protection locked="0"/>
    </xf>
    <xf numFmtId="165" fontId="16" fillId="0" borderId="17" xfId="0" applyNumberFormat="1" applyFont="1" applyFill="1" applyBorder="1" applyAlignment="1" applyProtection="1">
      <alignment horizontal="right"/>
    </xf>
    <xf numFmtId="165" fontId="20" fillId="4" borderId="70" xfId="1" applyNumberFormat="1" applyFont="1" applyFill="1" applyBorder="1" applyAlignment="1" applyProtection="1">
      <alignment horizontal="center" vertical="center" wrapText="1"/>
    </xf>
    <xf numFmtId="0" fontId="21" fillId="0" borderId="0" xfId="0" applyFont="1"/>
    <xf numFmtId="0" fontId="16" fillId="0" borderId="30" xfId="0" applyFont="1" applyFill="1" applyBorder="1" applyAlignment="1">
      <alignment horizontal="center" vertical="center" wrapText="1"/>
    </xf>
    <xf numFmtId="0" fontId="15" fillId="0" borderId="4" xfId="0" applyFont="1" applyFill="1" applyBorder="1"/>
    <xf numFmtId="0" fontId="16" fillId="0" borderId="31" xfId="0" applyFont="1" applyFill="1" applyBorder="1" applyAlignment="1">
      <alignment horizontal="center" vertical="center" wrapText="1"/>
    </xf>
    <xf numFmtId="3" fontId="15" fillId="0" borderId="25" xfId="0" applyNumberFormat="1" applyFont="1" applyFill="1" applyBorder="1" applyAlignment="1">
      <alignment horizontal="center" vertical="center"/>
    </xf>
    <xf numFmtId="3" fontId="15" fillId="0" borderId="23" xfId="0" applyNumberFormat="1" applyFont="1" applyFill="1" applyBorder="1" applyAlignment="1">
      <alignment horizontal="center" vertical="center"/>
    </xf>
    <xf numFmtId="3" fontId="15" fillId="0" borderId="37" xfId="0" applyNumberFormat="1" applyFont="1" applyFill="1" applyBorder="1" applyAlignment="1">
      <alignment horizontal="center" vertical="center"/>
    </xf>
    <xf numFmtId="3" fontId="15" fillId="0" borderId="28" xfId="0" applyNumberFormat="1" applyFont="1" applyFill="1" applyBorder="1" applyAlignment="1">
      <alignment horizontal="center" vertical="center"/>
    </xf>
    <xf numFmtId="3" fontId="15" fillId="0" borderId="33" xfId="0" applyNumberFormat="1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3" fontId="16" fillId="0" borderId="4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16" fillId="0" borderId="24" xfId="0" applyNumberFormat="1" applyFont="1" applyFill="1" applyBorder="1" applyAlignment="1">
      <alignment horizontal="center" vertical="center" wrapText="1"/>
    </xf>
    <xf numFmtId="3" fontId="15" fillId="0" borderId="8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wrapText="1"/>
    </xf>
    <xf numFmtId="0" fontId="16" fillId="0" borderId="4" xfId="0" applyFont="1" applyFill="1" applyBorder="1" applyAlignment="1">
      <alignment wrapText="1"/>
    </xf>
    <xf numFmtId="0" fontId="15" fillId="0" borderId="29" xfId="0" applyFont="1" applyFill="1" applyBorder="1" applyAlignment="1">
      <alignment horizontal="left" vertical="center" wrapText="1"/>
    </xf>
    <xf numFmtId="3" fontId="15" fillId="0" borderId="3" xfId="0" applyNumberFormat="1" applyFont="1" applyFill="1" applyBorder="1" applyAlignment="1">
      <alignment horizontal="right" vertical="center" wrapText="1"/>
    </xf>
    <xf numFmtId="3" fontId="15" fillId="0" borderId="4" xfId="0" applyNumberFormat="1" applyFont="1" applyFill="1" applyBorder="1" applyAlignment="1">
      <alignment horizontal="right" vertical="center" wrapText="1"/>
    </xf>
    <xf numFmtId="3" fontId="15" fillId="0" borderId="24" xfId="0" applyNumberFormat="1" applyFont="1" applyFill="1" applyBorder="1" applyAlignment="1">
      <alignment horizontal="right" vertical="center" wrapText="1"/>
    </xf>
    <xf numFmtId="3" fontId="15" fillId="0" borderId="5" xfId="0" applyNumberFormat="1" applyFont="1" applyFill="1" applyBorder="1" applyAlignment="1">
      <alignment horizontal="right" vertical="center" wrapText="1"/>
    </xf>
    <xf numFmtId="3" fontId="15" fillId="0" borderId="84" xfId="0" applyNumberFormat="1" applyFont="1" applyFill="1" applyBorder="1" applyAlignment="1">
      <alignment horizontal="right" vertical="center" wrapText="1"/>
    </xf>
    <xf numFmtId="3" fontId="15" fillId="0" borderId="4" xfId="0" applyNumberFormat="1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 wrapText="1"/>
    </xf>
    <xf numFmtId="0" fontId="15" fillId="0" borderId="31" xfId="0" applyFont="1" applyFill="1" applyBorder="1" applyAlignment="1">
      <alignment horizontal="left" vertical="center" wrapText="1"/>
    </xf>
    <xf numFmtId="3" fontId="15" fillId="0" borderId="25" xfId="0" applyNumberFormat="1" applyFont="1" applyFill="1" applyBorder="1" applyAlignment="1">
      <alignment horizontal="right" vertical="center"/>
    </xf>
    <xf numFmtId="3" fontId="15" fillId="0" borderId="23" xfId="0" applyNumberFormat="1" applyFont="1" applyFill="1" applyBorder="1" applyAlignment="1">
      <alignment horizontal="right" vertical="center"/>
    </xf>
    <xf numFmtId="3" fontId="15" fillId="0" borderId="37" xfId="0" applyNumberFormat="1" applyFont="1" applyFill="1" applyBorder="1" applyAlignment="1">
      <alignment horizontal="right" vertical="center"/>
    </xf>
    <xf numFmtId="3" fontId="15" fillId="0" borderId="4" xfId="0" applyNumberFormat="1" applyFont="1" applyFill="1" applyBorder="1" applyAlignment="1">
      <alignment horizontal="right" vertical="center"/>
    </xf>
    <xf numFmtId="3" fontId="15" fillId="0" borderId="28" xfId="0" applyNumberFormat="1" applyFont="1" applyFill="1" applyBorder="1" applyAlignment="1">
      <alignment horizontal="right" vertical="center"/>
    </xf>
    <xf numFmtId="3" fontId="15" fillId="0" borderId="33" xfId="0" applyNumberFormat="1" applyFont="1" applyFill="1" applyBorder="1" applyAlignment="1">
      <alignment horizontal="right" vertical="center"/>
    </xf>
    <xf numFmtId="3" fontId="16" fillId="0" borderId="4" xfId="0" applyNumberFormat="1" applyFont="1" applyFill="1" applyBorder="1" applyAlignment="1">
      <alignment horizontal="left" wrapText="1"/>
    </xf>
    <xf numFmtId="0" fontId="15" fillId="0" borderId="4" xfId="0" applyFont="1" applyFill="1" applyBorder="1" applyAlignment="1">
      <alignment horizontal="left"/>
    </xf>
    <xf numFmtId="0" fontId="16" fillId="0" borderId="31" xfId="0" applyFont="1" applyFill="1" applyBorder="1" applyAlignment="1">
      <alignment horizontal="left" vertical="center" wrapText="1"/>
    </xf>
    <xf numFmtId="3" fontId="16" fillId="0" borderId="25" xfId="0" applyNumberFormat="1" applyFont="1" applyFill="1" applyBorder="1" applyAlignment="1">
      <alignment horizontal="right" vertical="center"/>
    </xf>
    <xf numFmtId="3" fontId="16" fillId="0" borderId="23" xfId="0" applyNumberFormat="1" applyFont="1" applyFill="1" applyBorder="1" applyAlignment="1">
      <alignment horizontal="right" wrapText="1"/>
    </xf>
    <xf numFmtId="3" fontId="15" fillId="0" borderId="5" xfId="0" applyNumberFormat="1" applyFont="1" applyFill="1" applyBorder="1" applyAlignment="1">
      <alignment horizontal="right" vertical="center"/>
    </xf>
    <xf numFmtId="3" fontId="16" fillId="0" borderId="24" xfId="0" applyNumberFormat="1" applyFont="1" applyFill="1" applyBorder="1" applyAlignment="1">
      <alignment horizontal="right" vertical="center"/>
    </xf>
    <xf numFmtId="3" fontId="16" fillId="0" borderId="4" xfId="0" applyNumberFormat="1" applyFont="1" applyFill="1" applyBorder="1" applyAlignment="1">
      <alignment horizontal="right" vertical="center"/>
    </xf>
    <xf numFmtId="3" fontId="16" fillId="0" borderId="28" xfId="0" applyNumberFormat="1" applyFont="1" applyFill="1" applyBorder="1" applyAlignment="1">
      <alignment horizontal="right" vertical="center"/>
    </xf>
    <xf numFmtId="3" fontId="16" fillId="0" borderId="33" xfId="0" applyNumberFormat="1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left"/>
    </xf>
    <xf numFmtId="0" fontId="16" fillId="0" borderId="29" xfId="0" applyFont="1" applyFill="1" applyBorder="1" applyAlignment="1">
      <alignment wrapText="1"/>
    </xf>
    <xf numFmtId="3" fontId="16" fillId="0" borderId="3" xfId="0" applyNumberFormat="1" applyFont="1" applyFill="1" applyBorder="1" applyAlignment="1">
      <alignment horizontal="right" vertical="center"/>
    </xf>
    <xf numFmtId="3" fontId="16" fillId="0" borderId="4" xfId="0" applyNumberFormat="1" applyFont="1" applyFill="1" applyBorder="1" applyAlignment="1">
      <alignment wrapText="1"/>
    </xf>
    <xf numFmtId="0" fontId="15" fillId="0" borderId="30" xfId="4" applyFont="1" applyFill="1" applyBorder="1" applyAlignment="1">
      <alignment horizontal="left" vertical="center" wrapText="1"/>
    </xf>
    <xf numFmtId="3" fontId="15" fillId="0" borderId="26" xfId="4" applyNumberFormat="1" applyFont="1" applyFill="1" applyBorder="1" applyAlignment="1">
      <alignment horizontal="right" vertical="center" wrapText="1"/>
    </xf>
    <xf numFmtId="3" fontId="15" fillId="0" borderId="38" xfId="4" applyNumberFormat="1" applyFont="1" applyFill="1" applyBorder="1" applyAlignment="1">
      <alignment horizontal="right" vertical="center" wrapText="1"/>
    </xf>
    <xf numFmtId="3" fontId="15" fillId="0" borderId="34" xfId="4" applyNumberFormat="1" applyFont="1" applyFill="1" applyBorder="1" applyAlignment="1">
      <alignment horizontal="right" vertical="center" wrapText="1"/>
    </xf>
    <xf numFmtId="3" fontId="15" fillId="0" borderId="27" xfId="0" applyNumberFormat="1" applyFont="1" applyFill="1" applyBorder="1" applyAlignment="1">
      <alignment horizontal="right" vertical="center"/>
    </xf>
    <xf numFmtId="3" fontId="16" fillId="0" borderId="3" xfId="0" applyNumberFormat="1" applyFont="1" applyFill="1" applyBorder="1" applyAlignment="1">
      <alignment horizontal="right" wrapText="1"/>
    </xf>
    <xf numFmtId="3" fontId="16" fillId="0" borderId="4" xfId="0" applyNumberFormat="1" applyFont="1" applyFill="1" applyBorder="1" applyAlignment="1">
      <alignment horizontal="right" wrapText="1"/>
    </xf>
    <xf numFmtId="3" fontId="16" fillId="0" borderId="4" xfId="0" applyNumberFormat="1" applyFont="1" applyFill="1" applyBorder="1" applyAlignment="1">
      <alignment horizontal="right"/>
    </xf>
    <xf numFmtId="3" fontId="16" fillId="0" borderId="24" xfId="0" applyNumberFormat="1" applyFont="1" applyFill="1" applyBorder="1" applyAlignment="1">
      <alignment horizontal="right" wrapText="1"/>
    </xf>
    <xf numFmtId="0" fontId="16" fillId="0" borderId="4" xfId="0" applyFont="1" applyFill="1" applyBorder="1"/>
    <xf numFmtId="3" fontId="16" fillId="0" borderId="28" xfId="0" applyNumberFormat="1" applyFont="1" applyFill="1" applyBorder="1" applyAlignment="1">
      <alignment horizontal="right" wrapText="1"/>
    </xf>
    <xf numFmtId="3" fontId="16" fillId="0" borderId="23" xfId="0" applyNumberFormat="1" applyFont="1" applyFill="1" applyBorder="1" applyAlignment="1">
      <alignment horizontal="right"/>
    </xf>
    <xf numFmtId="0" fontId="15" fillId="0" borderId="85" xfId="4" applyFont="1" applyFill="1" applyBorder="1" applyAlignment="1">
      <alignment horizontal="left" vertical="center" wrapText="1"/>
    </xf>
    <xf numFmtId="3" fontId="16" fillId="0" borderId="86" xfId="0" applyNumberFormat="1" applyFont="1" applyFill="1" applyBorder="1" applyAlignment="1">
      <alignment horizontal="left" wrapText="1"/>
    </xf>
    <xf numFmtId="3" fontId="15" fillId="0" borderId="3" xfId="0" applyNumberFormat="1" applyFont="1" applyFill="1" applyBorder="1" applyAlignment="1">
      <alignment horizontal="right" vertical="center"/>
    </xf>
    <xf numFmtId="3" fontId="16" fillId="0" borderId="24" xfId="0" applyNumberFormat="1" applyFont="1" applyFill="1" applyBorder="1" applyAlignment="1">
      <alignment horizontal="right"/>
    </xf>
    <xf numFmtId="3" fontId="16" fillId="0" borderId="31" xfId="0" applyNumberFormat="1" applyFont="1" applyFill="1" applyBorder="1" applyAlignment="1">
      <alignment horizontal="left" wrapText="1"/>
    </xf>
    <xf numFmtId="3" fontId="16" fillId="0" borderId="32" xfId="0" applyNumberFormat="1" applyFont="1" applyFill="1" applyBorder="1" applyAlignment="1">
      <alignment horizontal="right"/>
    </xf>
    <xf numFmtId="3" fontId="16" fillId="0" borderId="28" xfId="0" applyNumberFormat="1" applyFont="1" applyFill="1" applyBorder="1" applyAlignment="1">
      <alignment horizontal="right"/>
    </xf>
    <xf numFmtId="0" fontId="15" fillId="0" borderId="31" xfId="4" applyFont="1" applyFill="1" applyBorder="1" applyAlignment="1">
      <alignment horizontal="left" vertical="center" wrapText="1"/>
    </xf>
    <xf numFmtId="0" fontId="16" fillId="0" borderId="31" xfId="0" applyFont="1" applyFill="1" applyBorder="1" applyAlignment="1">
      <alignment vertical="center" wrapText="1"/>
    </xf>
    <xf numFmtId="3" fontId="15" fillId="0" borderId="23" xfId="0" applyNumberFormat="1" applyFont="1" applyFill="1" applyBorder="1" applyAlignment="1">
      <alignment horizontal="right" vertical="center" wrapText="1"/>
    </xf>
    <xf numFmtId="3" fontId="15" fillId="0" borderId="37" xfId="0" applyNumberFormat="1" applyFont="1" applyFill="1" applyBorder="1" applyAlignment="1">
      <alignment horizontal="right" vertical="center" wrapText="1"/>
    </xf>
    <xf numFmtId="0" fontId="16" fillId="0" borderId="31" xfId="4" applyFont="1" applyFill="1" applyBorder="1" applyAlignment="1">
      <alignment horizontal="left" vertical="center" wrapText="1"/>
    </xf>
    <xf numFmtId="3" fontId="15" fillId="0" borderId="28" xfId="0" applyNumberFormat="1" applyFont="1" applyFill="1" applyBorder="1" applyAlignment="1">
      <alignment horizontal="right" vertical="center" wrapText="1"/>
    </xf>
    <xf numFmtId="3" fontId="16" fillId="0" borderId="23" xfId="0" applyNumberFormat="1" applyFont="1" applyFill="1" applyBorder="1" applyAlignment="1">
      <alignment horizontal="right" vertical="center" wrapText="1"/>
    </xf>
    <xf numFmtId="3" fontId="16" fillId="0" borderId="32" xfId="0" applyNumberFormat="1" applyFont="1" applyFill="1" applyBorder="1" applyAlignment="1">
      <alignment horizontal="right" vertical="center"/>
    </xf>
    <xf numFmtId="3" fontId="15" fillId="0" borderId="32" xfId="0" applyNumberFormat="1" applyFont="1" applyFill="1" applyBorder="1" applyAlignment="1">
      <alignment horizontal="right" vertical="center"/>
    </xf>
    <xf numFmtId="0" fontId="16" fillId="0" borderId="4" xfId="0" applyFont="1" applyFill="1" applyBorder="1" applyAlignment="1"/>
    <xf numFmtId="0" fontId="16" fillId="0" borderId="31" xfId="0" applyFont="1" applyFill="1" applyBorder="1" applyAlignment="1">
      <alignment wrapText="1"/>
    </xf>
    <xf numFmtId="3" fontId="16" fillId="0" borderId="25" xfId="0" applyNumberFormat="1" applyFont="1" applyFill="1" applyBorder="1" applyAlignment="1">
      <alignment horizontal="right" wrapText="1"/>
    </xf>
    <xf numFmtId="0" fontId="15" fillId="0" borderId="31" xfId="0" applyFont="1" applyFill="1" applyBorder="1" applyAlignment="1">
      <alignment wrapText="1"/>
    </xf>
    <xf numFmtId="3" fontId="15" fillId="0" borderId="26" xfId="0" applyNumberFormat="1" applyFont="1" applyFill="1" applyBorder="1" applyAlignment="1">
      <alignment horizontal="right" vertical="center" wrapText="1"/>
    </xf>
    <xf numFmtId="3" fontId="15" fillId="0" borderId="34" xfId="0" applyNumberFormat="1" applyFont="1" applyFill="1" applyBorder="1" applyAlignment="1">
      <alignment horizontal="right" vertical="center" wrapText="1"/>
    </xf>
    <xf numFmtId="0" fontId="16" fillId="0" borderId="4" xfId="0" applyFont="1" applyFill="1" applyBorder="1" applyAlignment="1">
      <alignment horizontal="left" vertical="center"/>
    </xf>
    <xf numFmtId="3" fontId="15" fillId="6" borderId="25" xfId="0" applyNumberFormat="1" applyFont="1" applyFill="1" applyBorder="1" applyAlignment="1">
      <alignment horizontal="right" vertical="center" wrapText="1"/>
    </xf>
    <xf numFmtId="3" fontId="15" fillId="6" borderId="23" xfId="0" applyNumberFormat="1" applyFont="1" applyFill="1" applyBorder="1" applyAlignment="1">
      <alignment horizontal="right" vertical="center" wrapText="1"/>
    </xf>
    <xf numFmtId="3" fontId="15" fillId="6" borderId="37" xfId="0" applyNumberFormat="1" applyFont="1" applyFill="1" applyBorder="1" applyAlignment="1">
      <alignment horizontal="right" vertical="center" wrapText="1"/>
    </xf>
    <xf numFmtId="3" fontId="15" fillId="6" borderId="28" xfId="0" applyNumberFormat="1" applyFont="1" applyFill="1" applyBorder="1" applyAlignment="1">
      <alignment horizontal="right" vertical="center" wrapText="1"/>
    </xf>
    <xf numFmtId="3" fontId="15" fillId="6" borderId="33" xfId="0" applyNumberFormat="1" applyFont="1" applyFill="1" applyBorder="1" applyAlignment="1">
      <alignment horizontal="right" vertical="center"/>
    </xf>
    <xf numFmtId="3" fontId="15" fillId="0" borderId="25" xfId="0" applyNumberFormat="1" applyFont="1" applyFill="1" applyBorder="1" applyAlignment="1">
      <alignment horizontal="right" vertical="center" wrapText="1"/>
    </xf>
    <xf numFmtId="3" fontId="16" fillId="0" borderId="28" xfId="0" applyNumberFormat="1" applyFont="1" applyFill="1" applyBorder="1" applyAlignment="1">
      <alignment horizontal="right" vertical="center" wrapText="1"/>
    </xf>
    <xf numFmtId="3" fontId="16" fillId="0" borderId="25" xfId="0" applyNumberFormat="1" applyFont="1" applyFill="1" applyBorder="1" applyAlignment="1">
      <alignment horizontal="right" vertical="center" wrapText="1"/>
    </xf>
    <xf numFmtId="3" fontId="16" fillId="6" borderId="25" xfId="0" applyNumberFormat="1" applyFont="1" applyFill="1" applyBorder="1" applyAlignment="1">
      <alignment horizontal="right" vertical="center" wrapText="1"/>
    </xf>
    <xf numFmtId="3" fontId="16" fillId="6" borderId="23" xfId="0" applyNumberFormat="1" applyFont="1" applyFill="1" applyBorder="1" applyAlignment="1">
      <alignment horizontal="right" vertical="center" wrapText="1"/>
    </xf>
    <xf numFmtId="3" fontId="16" fillId="6" borderId="23" xfId="0" applyNumberFormat="1" applyFont="1" applyFill="1" applyBorder="1" applyAlignment="1">
      <alignment horizontal="right" wrapText="1"/>
    </xf>
    <xf numFmtId="3" fontId="16" fillId="6" borderId="23" xfId="0" applyNumberFormat="1" applyFont="1" applyFill="1" applyBorder="1" applyAlignment="1">
      <alignment horizontal="right"/>
    </xf>
    <xf numFmtId="3" fontId="16" fillId="6" borderId="28" xfId="0" applyNumberFormat="1" applyFont="1" applyFill="1" applyBorder="1" applyAlignment="1">
      <alignment horizontal="right"/>
    </xf>
    <xf numFmtId="0" fontId="15" fillId="0" borderId="31" xfId="0" applyFont="1" applyFill="1" applyBorder="1" applyAlignment="1">
      <alignment vertical="center" wrapText="1"/>
    </xf>
    <xf numFmtId="0" fontId="15" fillId="0" borderId="30" xfId="0" applyFont="1" applyFill="1" applyBorder="1" applyAlignment="1" applyProtection="1">
      <alignment horizontal="left" vertical="center" wrapText="1"/>
    </xf>
    <xf numFmtId="3" fontId="15" fillId="0" borderId="26" xfId="0" applyNumberFormat="1" applyFont="1" applyFill="1" applyBorder="1" applyAlignment="1">
      <alignment horizontal="right" vertical="center"/>
    </xf>
    <xf numFmtId="3" fontId="15" fillId="0" borderId="38" xfId="0" applyNumberFormat="1" applyFont="1" applyFill="1" applyBorder="1" applyAlignment="1">
      <alignment horizontal="right" vertical="center"/>
    </xf>
    <xf numFmtId="3" fontId="15" fillId="0" borderId="34" xfId="0" applyNumberFormat="1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left" vertical="center"/>
    </xf>
    <xf numFmtId="3" fontId="15" fillId="6" borderId="25" xfId="0" applyNumberFormat="1" applyFont="1" applyFill="1" applyBorder="1" applyAlignment="1">
      <alignment horizontal="right" vertical="center"/>
    </xf>
    <xf numFmtId="3" fontId="15" fillId="6" borderId="23" xfId="0" applyNumberFormat="1" applyFont="1" applyFill="1" applyBorder="1" applyAlignment="1">
      <alignment horizontal="right" vertical="center"/>
    </xf>
    <xf numFmtId="3" fontId="15" fillId="6" borderId="37" xfId="0" applyNumberFormat="1" applyFont="1" applyFill="1" applyBorder="1" applyAlignment="1">
      <alignment horizontal="right" vertical="center"/>
    </xf>
    <xf numFmtId="3" fontId="15" fillId="6" borderId="28" xfId="0" applyNumberFormat="1" applyFont="1" applyFill="1" applyBorder="1" applyAlignment="1">
      <alignment horizontal="right" vertical="center"/>
    </xf>
    <xf numFmtId="0" fontId="16" fillId="0" borderId="29" xfId="0" applyFont="1" applyFill="1" applyBorder="1" applyAlignment="1">
      <alignment vertical="center" wrapText="1"/>
    </xf>
    <xf numFmtId="3" fontId="15" fillId="0" borderId="38" xfId="0" applyNumberFormat="1" applyFont="1" applyFill="1" applyBorder="1" applyAlignment="1">
      <alignment horizontal="right" vertical="center" wrapText="1"/>
    </xf>
    <xf numFmtId="3" fontId="18" fillId="6" borderId="3" xfId="0" applyNumberFormat="1" applyFont="1" applyFill="1" applyBorder="1" applyAlignment="1">
      <alignment horizontal="right" wrapText="1"/>
    </xf>
    <xf numFmtId="3" fontId="18" fillId="6" borderId="4" xfId="0" applyNumberFormat="1" applyFont="1" applyFill="1" applyBorder="1" applyAlignment="1">
      <alignment horizontal="right" wrapText="1"/>
    </xf>
    <xf numFmtId="3" fontId="16" fillId="6" borderId="4" xfId="0" applyNumberFormat="1" applyFont="1" applyFill="1" applyBorder="1" applyAlignment="1">
      <alignment horizontal="right" wrapText="1"/>
    </xf>
    <xf numFmtId="3" fontId="16" fillId="6" borderId="4" xfId="0" applyNumberFormat="1" applyFont="1" applyFill="1" applyBorder="1" applyAlignment="1">
      <alignment horizontal="right"/>
    </xf>
    <xf numFmtId="3" fontId="15" fillId="6" borderId="5" xfId="0" applyNumberFormat="1" applyFont="1" applyFill="1" applyBorder="1" applyAlignment="1">
      <alignment horizontal="right" vertical="center"/>
    </xf>
    <xf numFmtId="3" fontId="16" fillId="6" borderId="24" xfId="0" applyNumberFormat="1" applyFont="1" applyFill="1" applyBorder="1" applyAlignment="1">
      <alignment horizontal="right"/>
    </xf>
    <xf numFmtId="3" fontId="18" fillId="0" borderId="25" xfId="0" applyNumberFormat="1" applyFont="1" applyFill="1" applyBorder="1" applyAlignment="1">
      <alignment horizontal="right" wrapText="1"/>
    </xf>
    <xf numFmtId="3" fontId="18" fillId="0" borderId="23" xfId="0" applyNumberFormat="1" applyFont="1" applyFill="1" applyBorder="1" applyAlignment="1">
      <alignment horizontal="right" wrapText="1"/>
    </xf>
    <xf numFmtId="3" fontId="18" fillId="6" borderId="25" xfId="0" applyNumberFormat="1" applyFont="1" applyFill="1" applyBorder="1" applyAlignment="1">
      <alignment horizontal="right" wrapText="1"/>
    </xf>
    <xf numFmtId="3" fontId="18" fillId="6" borderId="23" xfId="0" applyNumberFormat="1" applyFont="1" applyFill="1" applyBorder="1" applyAlignment="1">
      <alignment horizontal="right" wrapText="1"/>
    </xf>
    <xf numFmtId="3" fontId="15" fillId="0" borderId="53" xfId="0" applyNumberFormat="1" applyFont="1" applyFill="1" applyBorder="1" applyAlignment="1">
      <alignment horizontal="right" vertical="center"/>
    </xf>
    <xf numFmtId="3" fontId="15" fillId="0" borderId="26" xfId="0" applyNumberFormat="1" applyFont="1" applyFill="1" applyBorder="1" applyAlignment="1">
      <alignment horizontal="left" vertical="center" wrapText="1"/>
    </xf>
    <xf numFmtId="3" fontId="15" fillId="0" borderId="38" xfId="0" applyNumberFormat="1" applyFont="1" applyFill="1" applyBorder="1" applyAlignment="1">
      <alignment horizontal="left" vertical="center" wrapText="1"/>
    </xf>
    <xf numFmtId="3" fontId="15" fillId="7" borderId="27" xfId="0" applyNumberFormat="1" applyFont="1" applyFill="1" applyBorder="1" applyAlignment="1">
      <alignment horizontal="left" vertical="center" wrapText="1"/>
    </xf>
    <xf numFmtId="3" fontId="15" fillId="0" borderId="25" xfId="0" applyNumberFormat="1" applyFont="1" applyFill="1" applyBorder="1" applyAlignment="1">
      <alignment horizontal="left" vertical="center" wrapText="1"/>
    </xf>
    <xf numFmtId="3" fontId="15" fillId="0" borderId="23" xfId="0" applyNumberFormat="1" applyFont="1" applyFill="1" applyBorder="1" applyAlignment="1">
      <alignment horizontal="left" vertical="center" wrapText="1"/>
    </xf>
    <xf numFmtId="3" fontId="15" fillId="0" borderId="37" xfId="0" applyNumberFormat="1" applyFont="1" applyFill="1" applyBorder="1" applyAlignment="1">
      <alignment horizontal="left" vertical="center" wrapText="1"/>
    </xf>
    <xf numFmtId="3" fontId="15" fillId="0" borderId="28" xfId="0" applyNumberFormat="1" applyFont="1" applyFill="1" applyBorder="1" applyAlignment="1">
      <alignment horizontal="left" vertical="center" wrapText="1"/>
    </xf>
    <xf numFmtId="3" fontId="15" fillId="0" borderId="33" xfId="0" applyNumberFormat="1" applyFont="1" applyFill="1" applyBorder="1" applyAlignment="1">
      <alignment horizontal="left" vertical="center"/>
    </xf>
    <xf numFmtId="0" fontId="16" fillId="0" borderId="54" xfId="0" applyFont="1" applyFill="1" applyBorder="1" applyAlignment="1">
      <alignment wrapText="1"/>
    </xf>
    <xf numFmtId="3" fontId="15" fillId="0" borderId="55" xfId="0" applyNumberFormat="1" applyFont="1" applyFill="1" applyBorder="1" applyAlignment="1">
      <alignment horizontal="left" vertical="center" wrapText="1"/>
    </xf>
    <xf numFmtId="3" fontId="15" fillId="0" borderId="21" xfId="0" applyNumberFormat="1" applyFont="1" applyFill="1" applyBorder="1" applyAlignment="1">
      <alignment horizontal="left" vertical="center" wrapText="1"/>
    </xf>
    <xf numFmtId="3" fontId="16" fillId="0" borderId="21" xfId="0" applyNumberFormat="1" applyFont="1" applyFill="1" applyBorder="1" applyAlignment="1">
      <alignment horizontal="right" wrapText="1"/>
    </xf>
    <xf numFmtId="3" fontId="15" fillId="0" borderId="19" xfId="0" applyNumberFormat="1" applyFont="1" applyFill="1" applyBorder="1" applyAlignment="1">
      <alignment horizontal="left" vertical="center" wrapText="1"/>
    </xf>
    <xf numFmtId="3" fontId="15" fillId="0" borderId="56" xfId="0" applyNumberFormat="1" applyFont="1" applyFill="1" applyBorder="1" applyAlignment="1">
      <alignment horizontal="left" vertical="center" wrapText="1"/>
    </xf>
    <xf numFmtId="3" fontId="15" fillId="0" borderId="57" xfId="0" applyNumberFormat="1" applyFont="1" applyFill="1" applyBorder="1" applyAlignment="1">
      <alignment horizontal="left" vertical="center"/>
    </xf>
    <xf numFmtId="0" fontId="16" fillId="0" borderId="23" xfId="0" applyFont="1" applyFill="1" applyBorder="1" applyAlignment="1">
      <alignment wrapText="1"/>
    </xf>
    <xf numFmtId="3" fontId="15" fillId="0" borderId="23" xfId="0" applyNumberFormat="1" applyFont="1" applyFill="1" applyBorder="1" applyAlignment="1">
      <alignment horizontal="right"/>
    </xf>
    <xf numFmtId="3" fontId="15" fillId="0" borderId="4" xfId="0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vertical="center"/>
    </xf>
    <xf numFmtId="0" fontId="7" fillId="0" borderId="8" xfId="1" applyFont="1" applyFill="1" applyBorder="1" applyAlignment="1">
      <alignment horizontal="left" vertical="center" wrapText="1"/>
    </xf>
    <xf numFmtId="0" fontId="26" fillId="0" borderId="97" xfId="0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vertical="center" wrapText="1"/>
    </xf>
    <xf numFmtId="0" fontId="7" fillId="0" borderId="23" xfId="1" applyFont="1" applyFill="1" applyBorder="1" applyAlignment="1">
      <alignment horizontal="center" vertical="center"/>
    </xf>
    <xf numFmtId="0" fontId="26" fillId="0" borderId="23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7" fillId="0" borderId="3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7" fillId="0" borderId="3" xfId="1" applyFont="1" applyFill="1" applyBorder="1" applyAlignment="1">
      <alignment vertical="center"/>
    </xf>
    <xf numFmtId="0" fontId="26" fillId="0" borderId="4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Alignment="1">
      <alignment horizontal="center" vertical="center"/>
    </xf>
    <xf numFmtId="3" fontId="16" fillId="0" borderId="25" xfId="0" applyNumberFormat="1" applyFont="1" applyFill="1" applyBorder="1" applyAlignment="1">
      <alignment horizontal="right"/>
    </xf>
    <xf numFmtId="3" fontId="15" fillId="0" borderId="5" xfId="0" applyNumberFormat="1" applyFont="1" applyFill="1" applyBorder="1" applyAlignment="1">
      <alignment horizontal="right"/>
    </xf>
    <xf numFmtId="3" fontId="16" fillId="0" borderId="4" xfId="0" applyNumberFormat="1" applyFont="1" applyBorder="1" applyAlignment="1">
      <alignment horizontal="right" wrapText="1"/>
    </xf>
    <xf numFmtId="3" fontId="16" fillId="0" borderId="23" xfId="0" applyNumberFormat="1" applyFont="1" applyBorder="1" applyAlignment="1">
      <alignment horizontal="right" wrapText="1"/>
    </xf>
    <xf numFmtId="3" fontId="15" fillId="0" borderId="25" xfId="0" applyNumberFormat="1" applyFont="1" applyFill="1" applyBorder="1" applyAlignment="1">
      <alignment horizontal="right"/>
    </xf>
    <xf numFmtId="3" fontId="16" fillId="0" borderId="3" xfId="0" applyNumberFormat="1" applyFont="1" applyFill="1" applyBorder="1" applyAlignment="1">
      <alignment horizontal="right"/>
    </xf>
    <xf numFmtId="0" fontId="16" fillId="0" borderId="98" xfId="0" applyFont="1" applyFill="1" applyBorder="1" applyAlignment="1">
      <alignment wrapText="1"/>
    </xf>
    <xf numFmtId="3" fontId="16" fillId="0" borderId="25" xfId="0" applyNumberFormat="1" applyFont="1" applyBorder="1" applyAlignment="1">
      <alignment horizontal="right" wrapText="1"/>
    </xf>
    <xf numFmtId="0" fontId="16" fillId="0" borderId="31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29" xfId="0" applyFont="1" applyFill="1" applyBorder="1" applyAlignment="1">
      <alignment horizontal="left" vertical="center" wrapText="1"/>
    </xf>
    <xf numFmtId="0" fontId="0" fillId="0" borderId="0" xfId="0" applyFill="1"/>
    <xf numFmtId="3" fontId="16" fillId="3" borderId="3" xfId="6" quotePrefix="1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>
      <alignment horizontal="right" vertical="center" shrinkToFit="1"/>
    </xf>
    <xf numFmtId="3" fontId="8" fillId="5" borderId="7" xfId="0" applyNumberFormat="1" applyFont="1" applyFill="1" applyBorder="1" applyAlignment="1">
      <alignment vertical="center"/>
    </xf>
    <xf numFmtId="38" fontId="8" fillId="5" borderId="7" xfId="0" applyNumberFormat="1" applyFont="1" applyFill="1" applyBorder="1" applyAlignment="1" applyProtection="1">
      <alignment horizontal="right" vertical="center" wrapText="1" indent="3"/>
    </xf>
    <xf numFmtId="165" fontId="8" fillId="5" borderId="7" xfId="0" applyNumberFormat="1" applyFont="1" applyFill="1" applyBorder="1" applyAlignment="1">
      <alignment vertical="center"/>
    </xf>
    <xf numFmtId="0" fontId="16" fillId="9" borderId="31" xfId="0" applyFont="1" applyFill="1" applyBorder="1" applyAlignment="1">
      <alignment horizontal="left" vertical="center" wrapText="1"/>
    </xf>
    <xf numFmtId="3" fontId="15" fillId="9" borderId="5" xfId="0" applyNumberFormat="1" applyFont="1" applyFill="1" applyBorder="1" applyAlignment="1">
      <alignment horizontal="right"/>
    </xf>
    <xf numFmtId="0" fontId="16" fillId="9" borderId="0" xfId="0" applyFont="1" applyFill="1" applyBorder="1" applyAlignment="1">
      <alignment horizontal="left" vertical="center" wrapText="1"/>
    </xf>
    <xf numFmtId="3" fontId="16" fillId="0" borderId="99" xfId="0" applyNumberFormat="1" applyFont="1" applyFill="1" applyBorder="1" applyAlignment="1">
      <alignment horizontal="right" vertical="center"/>
    </xf>
    <xf numFmtId="0" fontId="8" fillId="5" borderId="4" xfId="0" applyFont="1" applyFill="1" applyBorder="1" applyAlignment="1">
      <alignment vertical="center" wrapText="1" shrinkToFit="1"/>
    </xf>
    <xf numFmtId="0" fontId="16" fillId="0" borderId="4" xfId="1" applyFont="1" applyFill="1" applyBorder="1" applyAlignment="1" applyProtection="1">
      <alignment horizontal="left" vertical="center"/>
    </xf>
    <xf numFmtId="0" fontId="21" fillId="0" borderId="0" xfId="0" applyFont="1" applyAlignment="1">
      <alignment horizontal="right"/>
    </xf>
    <xf numFmtId="0" fontId="21" fillId="0" borderId="4" xfId="0" applyFont="1" applyBorder="1" applyAlignment="1">
      <alignment horizontal="center"/>
    </xf>
    <xf numFmtId="0" fontId="21" fillId="0" borderId="4" xfId="0" applyFont="1" applyBorder="1" applyAlignment="1">
      <alignment horizontal="center" wrapText="1"/>
    </xf>
    <xf numFmtId="0" fontId="29" fillId="0" borderId="4" xfId="0" applyFont="1" applyBorder="1"/>
    <xf numFmtId="0" fontId="21" fillId="0" borderId="4" xfId="0" applyFont="1" applyBorder="1"/>
    <xf numFmtId="3" fontId="29" fillId="0" borderId="4" xfId="0" applyNumberFormat="1" applyFont="1" applyBorder="1"/>
    <xf numFmtId="3" fontId="21" fillId="0" borderId="4" xfId="0" applyNumberFormat="1" applyFont="1" applyBorder="1"/>
    <xf numFmtId="0" fontId="29" fillId="0" borderId="4" xfId="0" applyFont="1" applyBorder="1" applyAlignment="1">
      <alignment horizontal="left"/>
    </xf>
    <xf numFmtId="0" fontId="21" fillId="0" borderId="23" xfId="0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0" fontId="21" fillId="0" borderId="7" xfId="0" applyFont="1" applyBorder="1" applyAlignment="1">
      <alignment horizontal="center"/>
    </xf>
    <xf numFmtId="0" fontId="29" fillId="0" borderId="7" xfId="0" applyFont="1" applyBorder="1" applyAlignment="1">
      <alignment horizontal="left"/>
    </xf>
    <xf numFmtId="0" fontId="21" fillId="0" borderId="68" xfId="0" applyFont="1" applyBorder="1"/>
    <xf numFmtId="3" fontId="19" fillId="0" borderId="25" xfId="0" applyNumberFormat="1" applyFont="1" applyFill="1" applyBorder="1" applyAlignment="1">
      <alignment horizontal="right"/>
    </xf>
    <xf numFmtId="3" fontId="19" fillId="0" borderId="23" xfId="0" applyNumberFormat="1" applyFont="1" applyBorder="1" applyAlignment="1">
      <alignment horizontal="right" wrapText="1"/>
    </xf>
    <xf numFmtId="3" fontId="19" fillId="0" borderId="23" xfId="0" applyNumberFormat="1" applyFont="1" applyFill="1" applyBorder="1" applyAlignment="1">
      <alignment horizontal="right"/>
    </xf>
    <xf numFmtId="3" fontId="19" fillId="0" borderId="23" xfId="0" applyNumberFormat="1" applyFont="1" applyFill="1" applyBorder="1" applyAlignment="1">
      <alignment horizontal="right" wrapText="1"/>
    </xf>
    <xf numFmtId="3" fontId="31" fillId="0" borderId="5" xfId="0" applyNumberFormat="1" applyFont="1" applyFill="1" applyBorder="1" applyAlignment="1">
      <alignment horizontal="right"/>
    </xf>
    <xf numFmtId="3" fontId="19" fillId="0" borderId="4" xfId="0" applyNumberFormat="1" applyFont="1" applyBorder="1" applyAlignment="1">
      <alignment horizontal="right" wrapText="1"/>
    </xf>
    <xf numFmtId="3" fontId="19" fillId="0" borderId="4" xfId="0" applyNumberFormat="1" applyFont="1" applyFill="1" applyBorder="1" applyAlignment="1">
      <alignment horizontal="left" wrapText="1"/>
    </xf>
    <xf numFmtId="0" fontId="19" fillId="0" borderId="4" xfId="0" applyFont="1" applyFill="1" applyBorder="1" applyAlignment="1">
      <alignment horizontal="left"/>
    </xf>
    <xf numFmtId="0" fontId="19" fillId="9" borderId="31" xfId="0" applyFont="1" applyFill="1" applyBorder="1" applyAlignment="1">
      <alignment horizontal="left" vertical="center" wrapText="1"/>
    </xf>
    <xf numFmtId="3" fontId="31" fillId="9" borderId="5" xfId="0" applyNumberFormat="1" applyFont="1" applyFill="1" applyBorder="1" applyAlignment="1">
      <alignment horizontal="right"/>
    </xf>
    <xf numFmtId="38" fontId="16" fillId="0" borderId="4" xfId="0" applyNumberFormat="1" applyFont="1" applyFill="1" applyBorder="1" applyAlignment="1" applyProtection="1">
      <alignment horizontal="right"/>
      <protection locked="0"/>
    </xf>
    <xf numFmtId="0" fontId="6" fillId="0" borderId="44" xfId="1" applyFont="1" applyFill="1" applyBorder="1" applyAlignment="1" applyProtection="1">
      <alignment horizontal="left" vertical="center"/>
    </xf>
    <xf numFmtId="0" fontId="6" fillId="0" borderId="45" xfId="1" applyFont="1" applyFill="1" applyBorder="1" applyAlignment="1" applyProtection="1">
      <alignment horizontal="left" vertical="center"/>
    </xf>
    <xf numFmtId="0" fontId="6" fillId="0" borderId="64" xfId="1" applyFont="1" applyFill="1" applyBorder="1" applyAlignment="1" applyProtection="1">
      <alignment horizontal="left" vertical="center"/>
    </xf>
    <xf numFmtId="0" fontId="6" fillId="0" borderId="58" xfId="1" applyFont="1" applyFill="1" applyBorder="1" applyAlignment="1" applyProtection="1">
      <alignment horizontal="left" vertical="center"/>
    </xf>
    <xf numFmtId="0" fontId="7" fillId="0" borderId="46" xfId="1" applyFont="1" applyFill="1" applyBorder="1" applyAlignment="1" applyProtection="1">
      <alignment horizontal="left" vertical="center"/>
    </xf>
    <xf numFmtId="0" fontId="7" fillId="0" borderId="47" xfId="1" applyFont="1" applyFill="1" applyBorder="1" applyAlignment="1" applyProtection="1">
      <alignment horizontal="left" vertical="center"/>
    </xf>
    <xf numFmtId="0" fontId="7" fillId="0" borderId="65" xfId="1" applyFont="1" applyFill="1" applyBorder="1" applyAlignment="1" applyProtection="1">
      <alignment horizontal="left" vertical="center"/>
    </xf>
    <xf numFmtId="49" fontId="7" fillId="0" borderId="11" xfId="1" applyNumberFormat="1" applyFont="1" applyFill="1" applyBorder="1" applyAlignment="1" applyProtection="1">
      <alignment horizontal="center" vertical="center" wrapText="1"/>
    </xf>
    <xf numFmtId="49" fontId="7" fillId="0" borderId="12" xfId="1" applyNumberFormat="1" applyFont="1" applyFill="1" applyBorder="1" applyAlignment="1" applyProtection="1">
      <alignment horizontal="center" vertical="center" wrapText="1"/>
    </xf>
    <xf numFmtId="49" fontId="10" fillId="0" borderId="42" xfId="1" applyNumberFormat="1" applyFont="1" applyFill="1" applyBorder="1" applyAlignment="1" applyProtection="1">
      <alignment horizontal="center" vertical="center"/>
    </xf>
    <xf numFmtId="49" fontId="10" fillId="0" borderId="43" xfId="1" applyNumberFormat="1" applyFont="1" applyFill="1" applyBorder="1" applyAlignment="1" applyProtection="1">
      <alignment horizontal="center" vertical="center"/>
    </xf>
    <xf numFmtId="49" fontId="10" fillId="0" borderId="62" xfId="1" applyNumberFormat="1" applyFont="1" applyFill="1" applyBorder="1" applyAlignment="1" applyProtection="1">
      <alignment horizontal="center" vertical="center"/>
    </xf>
    <xf numFmtId="49" fontId="10" fillId="0" borderId="63" xfId="1" applyNumberFormat="1" applyFont="1" applyFill="1" applyBorder="1" applyAlignment="1" applyProtection="1">
      <alignment horizontal="center" vertical="center"/>
    </xf>
    <xf numFmtId="0" fontId="7" fillId="0" borderId="46" xfId="1" applyFont="1" applyFill="1" applyBorder="1" applyAlignment="1" applyProtection="1">
      <alignment horizontal="left" vertical="center"/>
    </xf>
    <xf numFmtId="0" fontId="7" fillId="0" borderId="47" xfId="1" applyFont="1" applyFill="1" applyBorder="1" applyAlignment="1" applyProtection="1">
      <alignment horizontal="left" vertical="center"/>
    </xf>
    <xf numFmtId="0" fontId="7" fillId="0" borderId="65" xfId="1" applyFont="1" applyFill="1" applyBorder="1" applyAlignment="1" applyProtection="1">
      <alignment horizontal="left" vertical="center"/>
    </xf>
    <xf numFmtId="0" fontId="7" fillId="0" borderId="66" xfId="1" applyFont="1" applyFill="1" applyBorder="1" applyAlignment="1" applyProtection="1">
      <alignment horizontal="left" vertical="center"/>
    </xf>
    <xf numFmtId="0" fontId="6" fillId="2" borderId="9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14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6" fillId="2" borderId="20" xfId="1" applyFont="1" applyFill="1" applyBorder="1" applyAlignment="1" applyProtection="1">
      <alignment horizontal="center" vertical="center"/>
    </xf>
    <xf numFmtId="0" fontId="6" fillId="2" borderId="13" xfId="1" applyFont="1" applyFill="1" applyBorder="1" applyAlignment="1" applyProtection="1">
      <alignment horizontal="center" vertical="center"/>
    </xf>
    <xf numFmtId="0" fontId="6" fillId="0" borderId="44" xfId="1" applyFont="1" applyFill="1" applyBorder="1" applyAlignment="1" applyProtection="1">
      <alignment horizontal="left" vertical="center"/>
    </xf>
    <xf numFmtId="0" fontId="6" fillId="0" borderId="45" xfId="1" applyFont="1" applyFill="1" applyBorder="1" applyAlignment="1" applyProtection="1">
      <alignment horizontal="left" vertical="center"/>
    </xf>
    <xf numFmtId="0" fontId="6" fillId="0" borderId="64" xfId="1" applyFont="1" applyFill="1" applyBorder="1" applyAlignment="1" applyProtection="1">
      <alignment horizontal="left" vertical="center"/>
    </xf>
    <xf numFmtId="0" fontId="6" fillId="0" borderId="58" xfId="1" applyFont="1" applyFill="1" applyBorder="1" applyAlignment="1" applyProtection="1">
      <alignment horizontal="left" vertical="center"/>
    </xf>
    <xf numFmtId="0" fontId="10" fillId="0" borderId="95" xfId="1" applyFont="1" applyFill="1" applyBorder="1" applyAlignment="1" applyProtection="1">
      <alignment horizontal="left" vertical="center"/>
    </xf>
    <xf numFmtId="0" fontId="10" fillId="0" borderId="96" xfId="1" applyFont="1" applyFill="1" applyBorder="1" applyAlignment="1" applyProtection="1">
      <alignment horizontal="left" vertical="center"/>
    </xf>
    <xf numFmtId="0" fontId="10" fillId="0" borderId="93" xfId="1" applyFont="1" applyFill="1" applyBorder="1" applyAlignment="1" applyProtection="1">
      <alignment horizontal="left" vertical="center"/>
    </xf>
    <xf numFmtId="165" fontId="15" fillId="0" borderId="69" xfId="0" applyNumberFormat="1" applyFont="1" applyFill="1" applyBorder="1" applyAlignment="1" applyProtection="1">
      <alignment horizontal="center" vertical="center" textRotation="90"/>
    </xf>
    <xf numFmtId="165" fontId="15" fillId="0" borderId="19" xfId="0" applyNumberFormat="1" applyFont="1" applyFill="1" applyBorder="1" applyAlignment="1" applyProtection="1">
      <alignment horizontal="center" vertical="center" textRotation="90"/>
    </xf>
    <xf numFmtId="38" fontId="15" fillId="0" borderId="2" xfId="0" applyNumberFormat="1" applyFont="1" applyFill="1" applyBorder="1" applyAlignment="1" applyProtection="1">
      <alignment horizontal="center" vertical="center" textRotation="90"/>
    </xf>
    <xf numFmtId="38" fontId="15" fillId="0" borderId="4" xfId="0" applyNumberFormat="1" applyFont="1" applyFill="1" applyBorder="1" applyAlignment="1" applyProtection="1">
      <alignment horizontal="center" vertical="center" textRotation="90"/>
    </xf>
    <xf numFmtId="3" fontId="15" fillId="0" borderId="83" xfId="0" applyNumberFormat="1" applyFont="1" applyFill="1" applyBorder="1" applyAlignment="1">
      <alignment horizontal="center" vertical="center"/>
    </xf>
    <xf numFmtId="3" fontId="15" fillId="0" borderId="26" xfId="0" applyNumberFormat="1" applyFont="1" applyFill="1" applyBorder="1" applyAlignment="1">
      <alignment horizontal="center" vertical="center"/>
    </xf>
    <xf numFmtId="3" fontId="15" fillId="0" borderId="38" xfId="0" applyNumberFormat="1" applyFont="1" applyFill="1" applyBorder="1" applyAlignment="1">
      <alignment horizontal="center" vertical="center"/>
    </xf>
    <xf numFmtId="3" fontId="15" fillId="0" borderId="34" xfId="0" applyNumberFormat="1" applyFont="1" applyFill="1" applyBorder="1" applyAlignment="1">
      <alignment horizontal="center" vertical="center"/>
    </xf>
    <xf numFmtId="3" fontId="15" fillId="0" borderId="27" xfId="0" applyNumberFormat="1" applyFont="1" applyFill="1" applyBorder="1" applyAlignment="1">
      <alignment horizontal="center" vertical="center"/>
    </xf>
    <xf numFmtId="3" fontId="7" fillId="0" borderId="75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69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29" fillId="0" borderId="7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29" fillId="0" borderId="68" xfId="0" applyFont="1" applyBorder="1" applyAlignment="1">
      <alignment horizontal="center"/>
    </xf>
    <xf numFmtId="0" fontId="29" fillId="0" borderId="40" xfId="0" applyFont="1" applyBorder="1" applyAlignment="1">
      <alignment horizontal="center"/>
    </xf>
    <xf numFmtId="0" fontId="29" fillId="0" borderId="99" xfId="0" applyFont="1" applyBorder="1" applyAlignment="1">
      <alignment horizontal="center"/>
    </xf>
    <xf numFmtId="0" fontId="29" fillId="0" borderId="28" xfId="0" applyFont="1" applyBorder="1" applyAlignment="1">
      <alignment horizontal="center"/>
    </xf>
    <xf numFmtId="0" fontId="29" fillId="0" borderId="4" xfId="0" applyFont="1" applyBorder="1" applyAlignment="1">
      <alignment horizontal="left"/>
    </xf>
    <xf numFmtId="0" fontId="21" fillId="0" borderId="99" xfId="0" applyFont="1" applyBorder="1" applyAlignment="1">
      <alignment horizontal="left"/>
    </xf>
    <xf numFmtId="0" fontId="21" fillId="0" borderId="28" xfId="0" applyFont="1" applyBorder="1" applyAlignment="1">
      <alignment horizontal="left"/>
    </xf>
    <xf numFmtId="0" fontId="21" fillId="0" borderId="100" xfId="0" applyFont="1" applyBorder="1" applyAlignment="1">
      <alignment horizontal="left"/>
    </xf>
    <xf numFmtId="0" fontId="21" fillId="0" borderId="36" xfId="0" applyFont="1" applyBorder="1" applyAlignment="1">
      <alignment horizontal="left"/>
    </xf>
    <xf numFmtId="0" fontId="21" fillId="0" borderId="100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68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22" xfId="0" applyFont="1" applyBorder="1" applyAlignment="1">
      <alignment horizontal="left"/>
    </xf>
    <xf numFmtId="0" fontId="21" fillId="0" borderId="24" xfId="0" applyFont="1" applyBorder="1" applyAlignment="1">
      <alignment horizontal="left"/>
    </xf>
    <xf numFmtId="0" fontId="21" fillId="0" borderId="4" xfId="0" applyFont="1" applyBorder="1" applyAlignment="1">
      <alignment horizontal="center" vertical="center"/>
    </xf>
    <xf numFmtId="0" fontId="21" fillId="0" borderId="99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9" fillId="0" borderId="100" xfId="0" applyFont="1" applyBorder="1" applyAlignment="1">
      <alignment horizontal="center"/>
    </xf>
    <xf numFmtId="0" fontId="29" fillId="0" borderId="36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40" xfId="0" applyFont="1" applyBorder="1" applyAlignment="1">
      <alignment horizontal="center"/>
    </xf>
    <xf numFmtId="0" fontId="7" fillId="0" borderId="4" xfId="0" applyFont="1" applyFill="1" applyBorder="1" applyAlignment="1">
      <alignment horizontal="center" vertical="center" shrinkToFi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40" xfId="0" applyNumberFormat="1" applyFont="1" applyFill="1" applyBorder="1" applyAlignment="1">
      <alignment horizontal="center" vertical="center" wrapText="1"/>
    </xf>
    <xf numFmtId="9" fontId="16" fillId="0" borderId="22" xfId="13" applyFont="1" applyFill="1" applyBorder="1" applyAlignment="1" applyProtection="1">
      <alignment horizontal="left"/>
    </xf>
    <xf numFmtId="0" fontId="7" fillId="0" borderId="101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vertical="center" wrapText="1"/>
    </xf>
    <xf numFmtId="0" fontId="7" fillId="0" borderId="102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7" fillId="0" borderId="103" xfId="1" applyFont="1" applyFill="1" applyBorder="1" applyAlignment="1" applyProtection="1">
      <alignment horizontal="center" vertical="center" wrapText="1"/>
    </xf>
    <xf numFmtId="49" fontId="7" fillId="0" borderId="103" xfId="1" applyNumberFormat="1" applyFont="1" applyFill="1" applyBorder="1" applyAlignment="1" applyProtection="1">
      <alignment horizontal="center" vertical="center" wrapText="1"/>
    </xf>
    <xf numFmtId="0" fontId="6" fillId="0" borderId="58" xfId="1" applyFont="1" applyFill="1" applyBorder="1" applyAlignment="1" applyProtection="1">
      <alignment horizontal="left" vertical="center" wrapText="1" shrinkToFit="1"/>
    </xf>
    <xf numFmtId="0" fontId="6" fillId="0" borderId="45" xfId="1" applyFont="1" applyFill="1" applyBorder="1" applyAlignment="1" applyProtection="1">
      <alignment horizontal="left" vertical="center" wrapText="1" shrinkToFit="1"/>
    </xf>
    <xf numFmtId="0" fontId="11" fillId="0" borderId="58" xfId="1" applyFont="1" applyFill="1" applyBorder="1" applyAlignment="1" applyProtection="1">
      <alignment horizontal="left" vertical="center" wrapText="1" shrinkToFit="1"/>
    </xf>
    <xf numFmtId="49" fontId="10" fillId="0" borderId="104" xfId="0" applyNumberFormat="1" applyFont="1" applyFill="1" applyBorder="1" applyAlignment="1" applyProtection="1">
      <alignment horizontal="center" vertical="center" wrapText="1"/>
    </xf>
    <xf numFmtId="3" fontId="10" fillId="0" borderId="88" xfId="0" applyNumberFormat="1" applyFont="1" applyFill="1" applyBorder="1" applyAlignment="1" applyProtection="1">
      <alignment horizontal="right"/>
    </xf>
    <xf numFmtId="3" fontId="6" fillId="0" borderId="88" xfId="0" applyNumberFormat="1" applyFont="1" applyFill="1" applyBorder="1" applyAlignment="1" applyProtection="1">
      <alignment horizontal="right"/>
    </xf>
    <xf numFmtId="3" fontId="11" fillId="0" borderId="88" xfId="0" applyNumberFormat="1" applyFont="1" applyFill="1" applyBorder="1" applyAlignment="1" applyProtection="1">
      <alignment horizontal="right"/>
    </xf>
    <xf numFmtId="3" fontId="11" fillId="0" borderId="88" xfId="1" applyNumberFormat="1" applyFont="1" applyFill="1" applyBorder="1" applyAlignment="1" applyProtection="1">
      <alignment horizontal="right" vertical="center"/>
    </xf>
    <xf numFmtId="0" fontId="0" fillId="0" borderId="14" xfId="0" applyBorder="1"/>
    <xf numFmtId="3" fontId="7" fillId="0" borderId="88" xfId="0" applyNumberFormat="1" applyFont="1" applyFill="1" applyBorder="1" applyAlignment="1" applyProtection="1">
      <alignment horizontal="right" vertical="center"/>
    </xf>
    <xf numFmtId="3" fontId="6" fillId="0" borderId="88" xfId="0" applyNumberFormat="1" applyFont="1" applyFill="1" applyBorder="1" applyAlignment="1" applyProtection="1">
      <alignment horizontal="right" vertical="center"/>
    </xf>
    <xf numFmtId="3" fontId="7" fillId="0" borderId="90" xfId="0" applyNumberFormat="1" applyFont="1" applyFill="1" applyBorder="1" applyAlignment="1" applyProtection="1">
      <alignment horizontal="right" vertical="center"/>
    </xf>
    <xf numFmtId="0" fontId="6" fillId="2" borderId="91" xfId="1" applyFont="1" applyFill="1" applyBorder="1" applyAlignment="1" applyProtection="1">
      <alignment horizontal="center" vertical="center"/>
    </xf>
    <xf numFmtId="0" fontId="6" fillId="2" borderId="89" xfId="1" applyFont="1" applyFill="1" applyBorder="1" applyAlignment="1" applyProtection="1">
      <alignment horizontal="center" vertical="center"/>
    </xf>
    <xf numFmtId="0" fontId="6" fillId="2" borderId="92" xfId="1" applyFont="1" applyFill="1" applyBorder="1" applyAlignment="1" applyProtection="1">
      <alignment horizontal="center" vertical="center"/>
    </xf>
    <xf numFmtId="49" fontId="10" fillId="0" borderId="87" xfId="0" applyNumberFormat="1" applyFont="1" applyFill="1" applyBorder="1" applyAlignment="1" applyProtection="1">
      <alignment horizontal="center" vertical="center" wrapText="1"/>
    </xf>
    <xf numFmtId="38" fontId="11" fillId="0" borderId="88" xfId="1" applyNumberFormat="1" applyFont="1" applyFill="1" applyBorder="1" applyAlignment="1" applyProtection="1">
      <alignment horizontal="right" vertical="center"/>
    </xf>
    <xf numFmtId="3" fontId="6" fillId="0" borderId="88" xfId="1" applyNumberFormat="1" applyFont="1" applyFill="1" applyBorder="1" applyAlignment="1" applyProtection="1">
      <alignment horizontal="right" vertical="center"/>
    </xf>
    <xf numFmtId="3" fontId="7" fillId="0" borderId="90" xfId="1" applyNumberFormat="1" applyFont="1" applyFill="1" applyBorder="1" applyAlignment="1" applyProtection="1">
      <alignment horizontal="right" vertical="center"/>
    </xf>
    <xf numFmtId="0" fontId="0" fillId="0" borderId="4" xfId="0" applyBorder="1"/>
    <xf numFmtId="166" fontId="0" fillId="0" borderId="4" xfId="10" applyNumberFormat="1" applyFont="1" applyBorder="1"/>
    <xf numFmtId="0" fontId="0" fillId="0" borderId="4" xfId="0" applyFill="1" applyBorder="1"/>
    <xf numFmtId="166" fontId="0" fillId="0" borderId="4" xfId="10" applyNumberFormat="1" applyFont="1" applyFill="1" applyBorder="1"/>
    <xf numFmtId="0" fontId="0" fillId="9" borderId="4" xfId="0" applyFill="1" applyBorder="1"/>
    <xf numFmtId="166" fontId="0" fillId="9" borderId="4" xfId="10" applyNumberFormat="1" applyFont="1" applyFill="1" applyBorder="1"/>
    <xf numFmtId="0" fontId="32" fillId="0" borderId="4" xfId="0" applyFont="1" applyBorder="1" applyAlignment="1">
      <alignment horizontal="right"/>
    </xf>
    <xf numFmtId="166" fontId="32" fillId="0" borderId="4" xfId="10" applyNumberFormat="1" applyFont="1" applyBorder="1"/>
    <xf numFmtId="166" fontId="32" fillId="0" borderId="4" xfId="0" applyNumberFormat="1" applyFont="1" applyBorder="1"/>
    <xf numFmtId="165" fontId="20" fillId="0" borderId="70" xfId="1" applyNumberFormat="1" applyFont="1" applyFill="1" applyBorder="1" applyAlignment="1" applyProtection="1">
      <alignment vertical="center" wrapText="1"/>
    </xf>
    <xf numFmtId="165" fontId="15" fillId="0" borderId="35" xfId="0" applyNumberFormat="1" applyFont="1" applyFill="1" applyBorder="1" applyAlignment="1" applyProtection="1">
      <alignment vertical="center" wrapText="1"/>
    </xf>
    <xf numFmtId="165" fontId="15" fillId="0" borderId="94" xfId="1" applyNumberFormat="1" applyFont="1" applyFill="1" applyBorder="1" applyAlignment="1" applyProtection="1">
      <alignment vertical="center" wrapText="1"/>
    </xf>
    <xf numFmtId="165" fontId="15" fillId="0" borderId="70" xfId="1" applyNumberFormat="1" applyFont="1" applyFill="1" applyBorder="1" applyAlignment="1" applyProtection="1">
      <alignment vertical="center" wrapText="1"/>
    </xf>
  </cellXfs>
  <cellStyles count="14">
    <cellStyle name="Ezres" xfId="10" builtinId="3"/>
    <cellStyle name="Ezres 2" xfId="6"/>
    <cellStyle name="Ezres 3" xfId="8"/>
    <cellStyle name="Ezres 4" xfId="9"/>
    <cellStyle name="költségvetési tábla" xfId="5"/>
    <cellStyle name="Normál" xfId="0" builtinId="0"/>
    <cellStyle name="Normál 2" xfId="11"/>
    <cellStyle name="Normál 2 2" xfId="3"/>
    <cellStyle name="Normál 3" xfId="1"/>
    <cellStyle name="Normál 4" xfId="12"/>
    <cellStyle name="Normál 6" xfId="2"/>
    <cellStyle name="Normál 6 2" xfId="4"/>
    <cellStyle name="számérték" xfId="7"/>
    <cellStyle name="Százalék" xfId="13" builtinId="5"/>
  </cellStyles>
  <dxfs count="6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34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ajat\2022\K&#246;lts&#233;gvet&#233;s\E&#220;%20szolg\K&#246;lts&#233;gvet&#233;s%202022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2%20&#233;vi%20ktv\2022_evi_rendelet_munkaanyag\2022%20&#233;vi%20PH%20kiad&#225;s_bev&#233;te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ajat\2022\K&#246;lts&#233;gvet&#233;s\GAMESZ\2022_k&#246;lts&#233;gvet&#233;si%20rendelet%20mell&#233;klettel_v&#233;gle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"/>
      <sheetName val="Kiadások"/>
    </sheetNames>
    <sheetDataSet>
      <sheetData sheetId="0">
        <row r="7">
          <cell r="R7">
            <v>1879000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"/>
      <sheetName val="kiadások"/>
    </sheetNames>
    <sheetDataSet>
      <sheetData sheetId="0" refreshError="1"/>
      <sheetData sheetId="1">
        <row r="7">
          <cell r="Y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éklet"/>
      <sheetName val="2. melléklet"/>
      <sheetName val="3. melléklet"/>
      <sheetName val="4. melléklet"/>
      <sheetName val="5. melléklet"/>
      <sheetName val="6. melléklet"/>
    </sheetNames>
    <sheetDataSet>
      <sheetData sheetId="0"/>
      <sheetData sheetId="1"/>
      <sheetData sheetId="2">
        <row r="23">
          <cell r="Y23">
            <v>5820</v>
          </cell>
        </row>
        <row r="24">
          <cell r="P24">
            <v>4770</v>
          </cell>
        </row>
      </sheetData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Tamás" id="{48BDA46E-CD0D-48A9-AF37-BDB823346E85}" userId="83a72b5c68258ca4" providerId="Windows Live"/>
</personList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28" dT="2020-11-20T21:07:34.55" personId="{48BDA46E-CD0D-48A9-AF37-BDB823346E85}" id="{0018E6F5-39F7-428F-8E22-C291CE2F67E8}">
    <text>2 244 267 e Ft?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view="pageBreakPreview" zoomScale="110" zoomScaleNormal="120" zoomScaleSheetLayoutView="110" zoomScalePageLayoutView="160" workbookViewId="0">
      <selection activeCell="H12" sqref="H11:H12"/>
    </sheetView>
  </sheetViews>
  <sheetFormatPr defaultRowHeight="15" x14ac:dyDescent="0.25"/>
  <cols>
    <col min="1" max="1" width="7.7109375" customWidth="1"/>
    <col min="2" max="2" width="10.42578125" customWidth="1"/>
    <col min="3" max="3" width="41.5703125" customWidth="1"/>
    <col min="4" max="4" width="13" customWidth="1"/>
    <col min="5" max="5" width="8.7109375" customWidth="1"/>
    <col min="6" max="6" width="13.140625" customWidth="1"/>
    <col min="7" max="7" width="30.42578125" customWidth="1"/>
    <col min="8" max="8" width="13.5703125" customWidth="1"/>
    <col min="9" max="9" width="12.42578125" customWidth="1"/>
    <col min="10" max="10" width="10.28515625" bestFit="1" customWidth="1"/>
  </cols>
  <sheetData>
    <row r="1" spans="1:9" ht="55.5" customHeight="1" thickBot="1" x14ac:dyDescent="0.3">
      <c r="A1" s="864" t="s">
        <v>1064</v>
      </c>
      <c r="B1" s="865"/>
      <c r="C1" s="865"/>
      <c r="D1" s="865"/>
      <c r="E1" s="865"/>
      <c r="F1" s="865"/>
      <c r="G1" s="865"/>
      <c r="H1" s="866"/>
    </row>
    <row r="2" spans="1:9" ht="38.25" customHeight="1" thickBot="1" x14ac:dyDescent="0.3">
      <c r="A2" s="793" t="s">
        <v>892</v>
      </c>
      <c r="B2" s="794"/>
      <c r="C2" s="794"/>
      <c r="D2" s="794"/>
      <c r="E2" s="794"/>
      <c r="F2" s="794"/>
      <c r="G2" s="794"/>
      <c r="H2" s="867"/>
    </row>
    <row r="3" spans="1:9" ht="25.5" x14ac:dyDescent="0.25">
      <c r="A3" s="795" t="s">
        <v>30</v>
      </c>
      <c r="B3" s="796"/>
      <c r="C3" s="796"/>
      <c r="D3" s="16" t="s">
        <v>937</v>
      </c>
      <c r="E3" s="797" t="s">
        <v>33</v>
      </c>
      <c r="F3" s="798"/>
      <c r="G3" s="798"/>
      <c r="H3" s="871" t="s">
        <v>937</v>
      </c>
      <c r="I3" s="196"/>
    </row>
    <row r="4" spans="1:9" x14ac:dyDescent="0.25">
      <c r="A4" s="17" t="s">
        <v>31</v>
      </c>
      <c r="B4" s="18"/>
      <c r="C4" s="18"/>
      <c r="D4" s="19">
        <f>D5+D13</f>
        <v>7680274.8509999998</v>
      </c>
      <c r="E4" s="813" t="s">
        <v>34</v>
      </c>
      <c r="F4" s="814"/>
      <c r="G4" s="815"/>
      <c r="H4" s="872">
        <f>H5+H13</f>
        <v>14843835.052125985</v>
      </c>
    </row>
    <row r="5" spans="1:9" x14ac:dyDescent="0.25">
      <c r="A5" s="21"/>
      <c r="B5" s="18" t="s">
        <v>14</v>
      </c>
      <c r="C5" s="18"/>
      <c r="D5" s="19">
        <f>SUM(D6:D9)</f>
        <v>6921274.8509999998</v>
      </c>
      <c r="E5" s="75"/>
      <c r="F5" s="74" t="s">
        <v>35</v>
      </c>
      <c r="G5" s="74"/>
      <c r="H5" s="872">
        <f>SUM(H6:H10)</f>
        <v>12816288</v>
      </c>
    </row>
    <row r="6" spans="1:9" x14ac:dyDescent="0.25">
      <c r="A6" s="786"/>
      <c r="B6" s="32" t="s">
        <v>10</v>
      </c>
      <c r="C6" s="787" t="s">
        <v>93</v>
      </c>
      <c r="D6" s="22">
        <f>'2. melléklet'!K47</f>
        <v>2138338.8510000003</v>
      </c>
      <c r="E6" s="788"/>
      <c r="F6" s="212" t="s">
        <v>21</v>
      </c>
      <c r="G6" s="76" t="s">
        <v>2</v>
      </c>
      <c r="H6" s="873">
        <f>+'3. melléklet'!K22</f>
        <v>3882692</v>
      </c>
    </row>
    <row r="7" spans="1:9" x14ac:dyDescent="0.25">
      <c r="A7" s="786"/>
      <c r="B7" s="32" t="s">
        <v>12</v>
      </c>
      <c r="C7" s="787" t="s">
        <v>0</v>
      </c>
      <c r="D7" s="22">
        <f>'2. melléklet'!K186</f>
        <v>2637936</v>
      </c>
      <c r="E7" s="788"/>
      <c r="F7" s="212" t="s">
        <v>22</v>
      </c>
      <c r="G7" s="76" t="s">
        <v>99</v>
      </c>
      <c r="H7" s="873">
        <f>+'3. melléklet'!K23</f>
        <v>561171</v>
      </c>
    </row>
    <row r="8" spans="1:9" x14ac:dyDescent="0.25">
      <c r="A8" s="786"/>
      <c r="B8" s="32" t="s">
        <v>13</v>
      </c>
      <c r="C8" s="787" t="s">
        <v>14</v>
      </c>
      <c r="D8" s="22">
        <f>'2. melléklet'!K222</f>
        <v>2145000</v>
      </c>
      <c r="E8" s="788"/>
      <c r="F8" s="212" t="s">
        <v>23</v>
      </c>
      <c r="G8" s="76" t="s">
        <v>3</v>
      </c>
      <c r="H8" s="873">
        <f>+'3. melléklet'!K61</f>
        <v>5308685</v>
      </c>
    </row>
    <row r="9" spans="1:9" x14ac:dyDescent="0.25">
      <c r="A9" s="786"/>
      <c r="B9" s="32" t="s">
        <v>17</v>
      </c>
      <c r="C9" s="787" t="s">
        <v>1</v>
      </c>
      <c r="D9" s="22">
        <f>'2. melléklet'!K257</f>
        <v>0</v>
      </c>
      <c r="E9" s="788"/>
      <c r="F9" s="212" t="s">
        <v>24</v>
      </c>
      <c r="G9" s="76" t="s">
        <v>8</v>
      </c>
      <c r="H9" s="873">
        <f>+'3. melléklet'!K125</f>
        <v>186500</v>
      </c>
    </row>
    <row r="10" spans="1:9" x14ac:dyDescent="0.25">
      <c r="A10" s="180"/>
      <c r="B10" s="181"/>
      <c r="C10" s="181"/>
      <c r="D10" s="182"/>
      <c r="E10" s="788"/>
      <c r="F10" s="212" t="s">
        <v>25</v>
      </c>
      <c r="G10" s="77" t="s">
        <v>4</v>
      </c>
      <c r="H10" s="873">
        <f>+'3. melléklet'!C197</f>
        <v>2877240</v>
      </c>
    </row>
    <row r="11" spans="1:9" x14ac:dyDescent="0.25">
      <c r="A11" s="180"/>
      <c r="B11" s="181"/>
      <c r="C11" s="181"/>
      <c r="D11" s="182"/>
      <c r="E11" s="788"/>
      <c r="F11" s="789"/>
      <c r="G11" s="198" t="s">
        <v>57</v>
      </c>
      <c r="H11" s="874">
        <f>+'6. melléklet'!C3</f>
        <v>150000</v>
      </c>
    </row>
    <row r="12" spans="1:9" x14ac:dyDescent="0.25">
      <c r="A12" s="180"/>
      <c r="B12" s="181"/>
      <c r="C12" s="181"/>
      <c r="D12" s="182"/>
      <c r="E12" s="788"/>
      <c r="F12" s="789"/>
      <c r="G12" s="199" t="s">
        <v>58</v>
      </c>
      <c r="H12" s="875">
        <f>+'6. melléklet'!C4</f>
        <v>1066850</v>
      </c>
    </row>
    <row r="13" spans="1:9" x14ac:dyDescent="0.25">
      <c r="A13" s="876"/>
      <c r="B13" s="18" t="s">
        <v>16</v>
      </c>
      <c r="C13" s="18"/>
      <c r="D13" s="19">
        <f>SUM(D14:D16)</f>
        <v>759000</v>
      </c>
      <c r="E13" s="788"/>
      <c r="F13" s="74" t="s">
        <v>36</v>
      </c>
      <c r="G13" s="74"/>
      <c r="H13" s="872">
        <f>SUM(H14:H16)</f>
        <v>2027547.0521259843</v>
      </c>
    </row>
    <row r="14" spans="1:9" x14ac:dyDescent="0.25">
      <c r="A14" s="786"/>
      <c r="B14" s="32" t="s">
        <v>11</v>
      </c>
      <c r="C14" s="26" t="s">
        <v>94</v>
      </c>
      <c r="D14" s="22">
        <f>'2. melléklet'!K83</f>
        <v>0</v>
      </c>
      <c r="E14" s="788"/>
      <c r="F14" s="212" t="s">
        <v>26</v>
      </c>
      <c r="G14" s="76" t="s">
        <v>5</v>
      </c>
      <c r="H14" s="873">
        <f>+'3. melléklet'!K207</f>
        <v>924348.54212598433</v>
      </c>
    </row>
    <row r="15" spans="1:9" x14ac:dyDescent="0.25">
      <c r="A15" s="27"/>
      <c r="B15" s="211" t="s">
        <v>15</v>
      </c>
      <c r="C15" s="28" t="s">
        <v>16</v>
      </c>
      <c r="D15" s="29">
        <f>'2. melléklet'!K231</f>
        <v>750000</v>
      </c>
      <c r="E15" s="788"/>
      <c r="F15" s="212" t="s">
        <v>27</v>
      </c>
      <c r="G15" s="76" t="s">
        <v>6</v>
      </c>
      <c r="H15" s="873">
        <f>+'3. melléklet'!K212</f>
        <v>1053198.51</v>
      </c>
    </row>
    <row r="16" spans="1:9" x14ac:dyDescent="0.25">
      <c r="A16" s="786"/>
      <c r="B16" s="32" t="s">
        <v>18</v>
      </c>
      <c r="C16" s="787" t="s">
        <v>19</v>
      </c>
      <c r="D16" s="22">
        <f>'2. melléklet'!K283</f>
        <v>9000</v>
      </c>
      <c r="E16" s="788"/>
      <c r="F16" s="212" t="s">
        <v>28</v>
      </c>
      <c r="G16" s="76" t="s">
        <v>7</v>
      </c>
      <c r="H16" s="873">
        <f>+'3. melléklet'!K274</f>
        <v>50000</v>
      </c>
    </row>
    <row r="17" spans="1:9" x14ac:dyDescent="0.25">
      <c r="A17" s="30" t="s">
        <v>135</v>
      </c>
      <c r="B17" s="18"/>
      <c r="C17" s="18"/>
      <c r="D17" s="19">
        <f>SUM(D23:D24,D18)</f>
        <v>11676260.052125985</v>
      </c>
      <c r="E17" s="78" t="s">
        <v>136</v>
      </c>
      <c r="F17" s="74"/>
      <c r="G17" s="74"/>
      <c r="H17" s="872">
        <f>SUM(H23:H24,H18)</f>
        <v>4512700.0521259848</v>
      </c>
    </row>
    <row r="18" spans="1:9" x14ac:dyDescent="0.25">
      <c r="A18" s="17"/>
      <c r="B18" s="213" t="s">
        <v>52</v>
      </c>
      <c r="C18" s="787" t="s">
        <v>51</v>
      </c>
      <c r="D18" s="22">
        <f>'2. melléklet'!K307</f>
        <v>11676260.052125985</v>
      </c>
      <c r="E18" s="73"/>
      <c r="F18" s="212" t="s">
        <v>71</v>
      </c>
      <c r="G18" s="789" t="s">
        <v>100</v>
      </c>
      <c r="H18" s="873">
        <f>+'3. melléklet'!C304</f>
        <v>4512700.0521259848</v>
      </c>
      <c r="I18" s="214"/>
    </row>
    <row r="19" spans="1:9" x14ac:dyDescent="0.25">
      <c r="A19" s="31"/>
      <c r="B19" s="32"/>
      <c r="C19" s="200" t="s">
        <v>102</v>
      </c>
      <c r="D19" s="201">
        <f>'2. melléklet'!K301</f>
        <v>4466700.0521259848</v>
      </c>
      <c r="E19" s="73"/>
      <c r="F19" s="212"/>
      <c r="G19" s="199" t="s">
        <v>102</v>
      </c>
      <c r="H19" s="874">
        <f>+'3. melléklet'!$C$297</f>
        <v>4466700.0521259848</v>
      </c>
      <c r="I19" s="214"/>
    </row>
    <row r="20" spans="1:9" x14ac:dyDescent="0.25">
      <c r="A20" s="17"/>
      <c r="B20" s="213"/>
      <c r="C20" s="200" t="s">
        <v>96</v>
      </c>
      <c r="D20" s="202">
        <f>'2. melléklet'!K295</f>
        <v>0</v>
      </c>
      <c r="E20" s="788"/>
      <c r="F20" s="212"/>
      <c r="G20" s="199" t="s">
        <v>101</v>
      </c>
      <c r="H20" s="874"/>
      <c r="I20" s="214"/>
    </row>
    <row r="21" spans="1:9" x14ac:dyDescent="0.25">
      <c r="A21" s="17"/>
      <c r="B21" s="213"/>
      <c r="C21" s="200" t="s">
        <v>95</v>
      </c>
      <c r="D21" s="202">
        <f>'2. melléklet'!K298</f>
        <v>4709560</v>
      </c>
      <c r="E21" s="788"/>
      <c r="F21" s="212"/>
      <c r="G21" s="199" t="s">
        <v>1236</v>
      </c>
      <c r="H21" s="874"/>
    </row>
    <row r="22" spans="1:9" ht="25.5" x14ac:dyDescent="0.25">
      <c r="A22" s="17"/>
      <c r="B22" s="213"/>
      <c r="C22" s="200" t="s">
        <v>1235</v>
      </c>
      <c r="D22" s="202">
        <f>+'2. melléklet'!K302</f>
        <v>2500000</v>
      </c>
      <c r="E22" s="788"/>
      <c r="F22" s="212"/>
      <c r="G22" s="870" t="s">
        <v>1065</v>
      </c>
      <c r="H22" s="874">
        <f>+'3. melléklet'!C296</f>
        <v>46000</v>
      </c>
    </row>
    <row r="23" spans="1:9" x14ac:dyDescent="0.25">
      <c r="A23" s="786"/>
      <c r="B23" s="32" t="s">
        <v>54</v>
      </c>
      <c r="C23" s="787" t="s">
        <v>53</v>
      </c>
      <c r="D23" s="33">
        <f>'2. melléklet'!K313</f>
        <v>0</v>
      </c>
      <c r="E23" s="788"/>
      <c r="F23" s="212" t="s">
        <v>72</v>
      </c>
      <c r="G23" s="789" t="s">
        <v>103</v>
      </c>
      <c r="H23" s="873">
        <v>0</v>
      </c>
    </row>
    <row r="24" spans="1:9" ht="25.5" x14ac:dyDescent="0.25">
      <c r="A24" s="786"/>
      <c r="B24" s="32" t="s">
        <v>55</v>
      </c>
      <c r="C24" s="869" t="s">
        <v>50</v>
      </c>
      <c r="D24" s="33">
        <f>'2. melléklet'!K314</f>
        <v>0</v>
      </c>
      <c r="E24" s="788"/>
      <c r="F24" s="212" t="s">
        <v>74</v>
      </c>
      <c r="G24" s="868" t="s">
        <v>73</v>
      </c>
      <c r="H24" s="873">
        <v>0</v>
      </c>
    </row>
    <row r="25" spans="1:9" ht="25.5" x14ac:dyDescent="0.25">
      <c r="A25" s="786"/>
      <c r="B25" s="787"/>
      <c r="C25" s="203" t="s">
        <v>893</v>
      </c>
      <c r="D25" s="201">
        <f>D18-D19</f>
        <v>7209560</v>
      </c>
      <c r="E25" s="788"/>
      <c r="F25" s="789"/>
      <c r="G25" s="203" t="s">
        <v>895</v>
      </c>
      <c r="H25" s="874">
        <f>H18-H21</f>
        <v>4512700.0521259848</v>
      </c>
    </row>
    <row r="26" spans="1:9" ht="15.75" x14ac:dyDescent="0.25">
      <c r="A26" s="60" t="s">
        <v>32</v>
      </c>
      <c r="B26" s="61"/>
      <c r="C26" s="62"/>
      <c r="D26" s="63">
        <f>D4+D17</f>
        <v>19356534.903125986</v>
      </c>
      <c r="E26" s="80" t="s">
        <v>37</v>
      </c>
      <c r="F26" s="81"/>
      <c r="G26" s="82"/>
      <c r="H26" s="877">
        <f>H4+H17</f>
        <v>19356535.10425197</v>
      </c>
      <c r="I26" s="214"/>
    </row>
    <row r="27" spans="1:9" x14ac:dyDescent="0.25">
      <c r="A27" s="809" t="s">
        <v>894</v>
      </c>
      <c r="B27" s="810"/>
      <c r="C27" s="810"/>
      <c r="D27" s="22">
        <f>D19*-1</f>
        <v>-4466700.0521259848</v>
      </c>
      <c r="E27" s="811" t="s">
        <v>112</v>
      </c>
      <c r="F27" s="812"/>
      <c r="G27" s="812"/>
      <c r="H27" s="878">
        <f>H19*-1</f>
        <v>-4466700.0521259848</v>
      </c>
      <c r="I27" s="214"/>
    </row>
    <row r="28" spans="1:9" ht="16.5" thickBot="1" x14ac:dyDescent="0.3">
      <c r="A28" s="799" t="s">
        <v>116</v>
      </c>
      <c r="B28" s="800"/>
      <c r="C28" s="800"/>
      <c r="D28" s="64">
        <f>D26+D27</f>
        <v>14889834.851000002</v>
      </c>
      <c r="E28" s="801" t="s">
        <v>117</v>
      </c>
      <c r="F28" s="802"/>
      <c r="G28" s="802"/>
      <c r="H28" s="879">
        <f>H26+H27</f>
        <v>14889835.052125985</v>
      </c>
    </row>
    <row r="29" spans="1:9" x14ac:dyDescent="0.25">
      <c r="A29" s="37" t="s">
        <v>98</v>
      </c>
      <c r="B29" s="69"/>
      <c r="C29" s="37"/>
      <c r="D29" s="38"/>
      <c r="E29" s="803"/>
      <c r="F29" s="804"/>
      <c r="G29" s="804"/>
      <c r="H29" s="880"/>
    </row>
    <row r="30" spans="1:9" x14ac:dyDescent="0.25">
      <c r="A30" s="39" t="s">
        <v>38</v>
      </c>
      <c r="B30" s="70"/>
      <c r="C30" s="39"/>
      <c r="D30" s="22">
        <f>SUM(D31:D32)</f>
        <v>-7163560.201125985</v>
      </c>
      <c r="E30" s="805"/>
      <c r="F30" s="806"/>
      <c r="G30" s="806"/>
      <c r="H30" s="881"/>
    </row>
    <row r="31" spans="1:9" x14ac:dyDescent="0.25">
      <c r="A31" s="40"/>
      <c r="B31" s="71" t="s">
        <v>39</v>
      </c>
      <c r="C31" s="58"/>
      <c r="D31" s="22">
        <f>+D5-H5</f>
        <v>-5895013.1490000002</v>
      </c>
      <c r="E31" s="805"/>
      <c r="F31" s="806"/>
      <c r="G31" s="806"/>
      <c r="H31" s="881"/>
    </row>
    <row r="32" spans="1:9" x14ac:dyDescent="0.25">
      <c r="A32" s="40"/>
      <c r="B32" s="71" t="s">
        <v>40</v>
      </c>
      <c r="C32" s="58"/>
      <c r="D32" s="22">
        <f>+D13-H13</f>
        <v>-1268547.0521259843</v>
      </c>
      <c r="E32" s="805"/>
      <c r="F32" s="806"/>
      <c r="G32" s="806"/>
      <c r="H32" s="881"/>
    </row>
    <row r="33" spans="1:10" x14ac:dyDescent="0.25">
      <c r="A33" s="39" t="s">
        <v>41</v>
      </c>
      <c r="B33" s="70"/>
      <c r="C33" s="39"/>
      <c r="D33" s="22">
        <f>D17-H17</f>
        <v>7163560</v>
      </c>
      <c r="E33" s="805"/>
      <c r="F33" s="806"/>
      <c r="G33" s="806"/>
      <c r="H33" s="881"/>
    </row>
    <row r="34" spans="1:10" ht="15.75" thickBot="1" x14ac:dyDescent="0.3">
      <c r="A34" s="42" t="s">
        <v>42</v>
      </c>
      <c r="B34" s="72"/>
      <c r="C34" s="59"/>
      <c r="D34" s="36">
        <f>D33+D30</f>
        <v>-0.2011259850114584</v>
      </c>
      <c r="E34" s="807"/>
      <c r="F34" s="808"/>
      <c r="G34" s="808"/>
      <c r="H34" s="882"/>
      <c r="J34" s="214"/>
    </row>
    <row r="35" spans="1:10" ht="36.75" customHeight="1" thickBot="1" x14ac:dyDescent="0.3">
      <c r="A35" s="793" t="s">
        <v>91</v>
      </c>
      <c r="B35" s="794"/>
      <c r="C35" s="794"/>
      <c r="D35" s="794"/>
      <c r="E35" s="794"/>
      <c r="F35" s="794"/>
      <c r="G35" s="794"/>
      <c r="H35" s="867"/>
    </row>
    <row r="36" spans="1:10" ht="25.5" x14ac:dyDescent="0.25">
      <c r="A36" s="795" t="s">
        <v>30</v>
      </c>
      <c r="B36" s="796"/>
      <c r="C36" s="796"/>
      <c r="D36" s="16" t="s">
        <v>937</v>
      </c>
      <c r="E36" s="797" t="s">
        <v>33</v>
      </c>
      <c r="F36" s="798"/>
      <c r="G36" s="798"/>
      <c r="H36" s="883" t="s">
        <v>937</v>
      </c>
    </row>
    <row r="37" spans="1:10" x14ac:dyDescent="0.25">
      <c r="A37" s="30" t="s">
        <v>31</v>
      </c>
      <c r="B37" s="35"/>
      <c r="C37" s="43"/>
      <c r="D37" s="20">
        <f>D38+D46</f>
        <v>5477493.8509999998</v>
      </c>
      <c r="E37" s="78" t="s">
        <v>34</v>
      </c>
      <c r="F37" s="83"/>
      <c r="G37" s="84"/>
      <c r="H37" s="872">
        <f>H38+H46</f>
        <v>6644354</v>
      </c>
    </row>
    <row r="38" spans="1:10" x14ac:dyDescent="0.25">
      <c r="A38" s="44"/>
      <c r="B38" s="35" t="s">
        <v>14</v>
      </c>
      <c r="C38" s="43"/>
      <c r="D38" s="20">
        <f>SUM(D39:D42)</f>
        <v>4718493.8509999998</v>
      </c>
      <c r="E38" s="85"/>
      <c r="F38" s="83" t="s">
        <v>35</v>
      </c>
      <c r="G38" s="84"/>
      <c r="H38" s="872">
        <f>SUM(H39:H43)</f>
        <v>5555619</v>
      </c>
    </row>
    <row r="39" spans="1:10" x14ac:dyDescent="0.25">
      <c r="A39" s="45"/>
      <c r="B39" s="47" t="s">
        <v>10</v>
      </c>
      <c r="C39" s="46" t="s">
        <v>93</v>
      </c>
      <c r="D39" s="23">
        <f>'2. melléklet'!C47</f>
        <v>1275338.8510000003</v>
      </c>
      <c r="E39" s="86"/>
      <c r="F39" s="91" t="s">
        <v>21</v>
      </c>
      <c r="G39" s="88" t="s">
        <v>2</v>
      </c>
      <c r="H39" s="873">
        <f>'3. melléklet'!C22</f>
        <v>251026</v>
      </c>
    </row>
    <row r="40" spans="1:10" x14ac:dyDescent="0.25">
      <c r="A40" s="45"/>
      <c r="B40" s="47" t="s">
        <v>12</v>
      </c>
      <c r="C40" s="46" t="s">
        <v>0</v>
      </c>
      <c r="D40" s="23">
        <f>'2. melléklet'!C186</f>
        <v>2637936</v>
      </c>
      <c r="E40" s="86"/>
      <c r="F40" s="91" t="s">
        <v>22</v>
      </c>
      <c r="G40" s="88" t="s">
        <v>99</v>
      </c>
      <c r="H40" s="873">
        <f>'3. melléklet'!C23</f>
        <v>46558</v>
      </c>
    </row>
    <row r="41" spans="1:10" x14ac:dyDescent="0.25">
      <c r="A41" s="45"/>
      <c r="B41" s="47" t="s">
        <v>13</v>
      </c>
      <c r="C41" s="46" t="s">
        <v>14</v>
      </c>
      <c r="D41" s="23">
        <f>'2. melléklet'!C222</f>
        <v>805219</v>
      </c>
      <c r="E41" s="86"/>
      <c r="F41" s="91" t="s">
        <v>23</v>
      </c>
      <c r="G41" s="88" t="s">
        <v>3</v>
      </c>
      <c r="H41" s="873">
        <f>'3. melléklet'!C61</f>
        <v>2194295</v>
      </c>
    </row>
    <row r="42" spans="1:10" x14ac:dyDescent="0.25">
      <c r="A42" s="45"/>
      <c r="B42" s="47" t="s">
        <v>17</v>
      </c>
      <c r="C42" s="46" t="s">
        <v>1</v>
      </c>
      <c r="D42" s="23">
        <f>'2. melléklet'!C257</f>
        <v>0</v>
      </c>
      <c r="E42" s="86"/>
      <c r="F42" s="91" t="s">
        <v>24</v>
      </c>
      <c r="G42" s="88" t="s">
        <v>8</v>
      </c>
      <c r="H42" s="873">
        <f>'3. melléklet'!C125</f>
        <v>186500</v>
      </c>
    </row>
    <row r="43" spans="1:10" x14ac:dyDescent="0.25">
      <c r="A43" s="183"/>
      <c r="B43" s="184"/>
      <c r="C43" s="185"/>
      <c r="D43" s="186"/>
      <c r="E43" s="86"/>
      <c r="F43" s="91" t="s">
        <v>25</v>
      </c>
      <c r="G43" s="89" t="s">
        <v>4</v>
      </c>
      <c r="H43" s="873">
        <f>'3. melléklet'!C197</f>
        <v>2877240</v>
      </c>
    </row>
    <row r="44" spans="1:10" x14ac:dyDescent="0.25">
      <c r="A44" s="187"/>
      <c r="B44" s="188"/>
      <c r="C44" s="189"/>
      <c r="D44" s="190"/>
      <c r="E44" s="86"/>
      <c r="F44" s="87"/>
      <c r="G44" s="206" t="s">
        <v>57</v>
      </c>
      <c r="H44" s="874">
        <f>'3. melléklet'!C195</f>
        <v>150000</v>
      </c>
    </row>
    <row r="45" spans="1:10" x14ac:dyDescent="0.25">
      <c r="A45" s="187"/>
      <c r="B45" s="188"/>
      <c r="C45" s="189"/>
      <c r="D45" s="190"/>
      <c r="E45" s="90"/>
      <c r="F45" s="91"/>
      <c r="G45" s="199" t="s">
        <v>58</v>
      </c>
      <c r="H45" s="875">
        <f>'3. melléklet'!C196</f>
        <v>1066850</v>
      </c>
    </row>
    <row r="46" spans="1:10" x14ac:dyDescent="0.25">
      <c r="A46" s="876"/>
      <c r="B46" s="35" t="s">
        <v>16</v>
      </c>
      <c r="C46" s="49"/>
      <c r="D46" s="48">
        <f>SUM(D47:D49)</f>
        <v>759000</v>
      </c>
      <c r="E46" s="85"/>
      <c r="F46" s="83" t="s">
        <v>36</v>
      </c>
      <c r="G46" s="84"/>
      <c r="H46" s="872">
        <f>SUM(H47:H49)</f>
        <v>1088735</v>
      </c>
    </row>
    <row r="47" spans="1:10" x14ac:dyDescent="0.25">
      <c r="A47" s="30"/>
      <c r="B47" s="47" t="s">
        <v>11</v>
      </c>
      <c r="C47" s="49" t="s">
        <v>94</v>
      </c>
      <c r="D47" s="50">
        <f>'2. melléklet'!C83</f>
        <v>0</v>
      </c>
      <c r="E47" s="86"/>
      <c r="F47" s="91" t="s">
        <v>26</v>
      </c>
      <c r="G47" s="88" t="s">
        <v>5</v>
      </c>
      <c r="H47" s="873">
        <f>'3. melléklet'!C207</f>
        <v>638335</v>
      </c>
    </row>
    <row r="48" spans="1:10" x14ac:dyDescent="0.25">
      <c r="A48" s="30"/>
      <c r="B48" s="210" t="s">
        <v>15</v>
      </c>
      <c r="C48" s="46" t="s">
        <v>16</v>
      </c>
      <c r="D48" s="50">
        <f>'2. melléklet'!C231</f>
        <v>750000</v>
      </c>
      <c r="E48" s="86"/>
      <c r="F48" s="91" t="s">
        <v>27</v>
      </c>
      <c r="G48" s="88" t="s">
        <v>6</v>
      </c>
      <c r="H48" s="873">
        <f>'3. melléklet'!C212</f>
        <v>400400</v>
      </c>
    </row>
    <row r="49" spans="1:9" x14ac:dyDescent="0.25">
      <c r="A49" s="30"/>
      <c r="B49" s="210" t="s">
        <v>18</v>
      </c>
      <c r="C49" s="51" t="s">
        <v>19</v>
      </c>
      <c r="D49" s="50">
        <f>'2. melléklet'!C283</f>
        <v>9000</v>
      </c>
      <c r="E49" s="86"/>
      <c r="F49" s="91" t="s">
        <v>28</v>
      </c>
      <c r="G49" s="88" t="s">
        <v>7</v>
      </c>
      <c r="H49" s="873">
        <f>'3. melléklet'!C274</f>
        <v>50000</v>
      </c>
    </row>
    <row r="50" spans="1:9" x14ac:dyDescent="0.25">
      <c r="A50" s="30" t="s">
        <v>135</v>
      </c>
      <c r="B50" s="52"/>
      <c r="C50" s="18"/>
      <c r="D50" s="48">
        <f>SUM(D54:D56,D51)</f>
        <v>5679560</v>
      </c>
      <c r="E50" s="78" t="s">
        <v>136</v>
      </c>
      <c r="F50" s="83"/>
      <c r="G50" s="84"/>
      <c r="H50" s="872">
        <f>SUM(H54:H56,H51)</f>
        <v>4512700.0521259848</v>
      </c>
    </row>
    <row r="51" spans="1:9" x14ac:dyDescent="0.25">
      <c r="A51" s="30"/>
      <c r="B51" s="210" t="s">
        <v>52</v>
      </c>
      <c r="C51" s="46" t="s">
        <v>51</v>
      </c>
      <c r="D51" s="50">
        <f>'2. melléklet'!C307</f>
        <v>5679560</v>
      </c>
      <c r="E51" s="78"/>
      <c r="F51" s="91" t="s">
        <v>71</v>
      </c>
      <c r="G51" s="92" t="s">
        <v>100</v>
      </c>
      <c r="H51" s="873">
        <f>'3. melléklet'!C304</f>
        <v>4512700.0521259848</v>
      </c>
    </row>
    <row r="52" spans="1:9" x14ac:dyDescent="0.25">
      <c r="A52" s="31"/>
      <c r="B52" s="47"/>
      <c r="C52" s="200" t="s">
        <v>96</v>
      </c>
      <c r="D52" s="204">
        <f>'2. melléklet'!C295</f>
        <v>0</v>
      </c>
      <c r="E52" s="78"/>
      <c r="F52" s="91"/>
      <c r="G52" s="207" t="s">
        <v>101</v>
      </c>
      <c r="H52" s="874">
        <f>'3. melléklet'!C294</f>
        <v>0</v>
      </c>
    </row>
    <row r="53" spans="1:9" x14ac:dyDescent="0.25">
      <c r="A53" s="31"/>
      <c r="B53" s="47"/>
      <c r="C53" s="205" t="s">
        <v>95</v>
      </c>
      <c r="D53" s="204">
        <f>'2. melléklet'!C298</f>
        <v>3179560</v>
      </c>
      <c r="E53" s="86"/>
      <c r="F53" s="91"/>
      <c r="G53" s="207" t="s">
        <v>102</v>
      </c>
      <c r="H53" s="874">
        <f>'3. melléklet'!C297</f>
        <v>4466700.0521259848</v>
      </c>
    </row>
    <row r="54" spans="1:9" x14ac:dyDescent="0.25">
      <c r="A54" s="31"/>
      <c r="B54" s="47" t="s">
        <v>54</v>
      </c>
      <c r="C54" s="26" t="s">
        <v>53</v>
      </c>
      <c r="D54" s="53">
        <f>'2. melléklet'!C313</f>
        <v>0</v>
      </c>
      <c r="E54" s="86"/>
      <c r="F54" s="91" t="s">
        <v>72</v>
      </c>
      <c r="G54" s="92" t="s">
        <v>103</v>
      </c>
      <c r="H54" s="873">
        <f>'3. melléklet'!C312</f>
        <v>0</v>
      </c>
    </row>
    <row r="55" spans="1:9" x14ac:dyDescent="0.25">
      <c r="A55" s="31"/>
      <c r="B55" s="47" t="s">
        <v>55</v>
      </c>
      <c r="C55" s="26" t="s">
        <v>50</v>
      </c>
      <c r="D55" s="53">
        <f>'2. melléklet'!C314</f>
        <v>0</v>
      </c>
      <c r="E55" s="86"/>
      <c r="F55" s="91" t="s">
        <v>74</v>
      </c>
      <c r="G55" s="93" t="s">
        <v>73</v>
      </c>
      <c r="H55" s="873">
        <f>'3. melléklet'!C313</f>
        <v>0</v>
      </c>
    </row>
    <row r="56" spans="1:9" x14ac:dyDescent="0.25">
      <c r="A56" s="31"/>
      <c r="B56" s="47" t="s">
        <v>56</v>
      </c>
      <c r="C56" s="26" t="s">
        <v>97</v>
      </c>
      <c r="D56" s="53">
        <f>'2. melléklet'!C315</f>
        <v>0</v>
      </c>
      <c r="E56" s="86"/>
      <c r="F56" s="91" t="s">
        <v>76</v>
      </c>
      <c r="G56" s="93" t="s">
        <v>75</v>
      </c>
      <c r="H56" s="873">
        <f>'3. melléklet'!C314</f>
        <v>0</v>
      </c>
    </row>
    <row r="57" spans="1:9" ht="16.5" thickBot="1" x14ac:dyDescent="0.3">
      <c r="A57" s="790" t="s">
        <v>32</v>
      </c>
      <c r="B57" s="65"/>
      <c r="C57" s="791"/>
      <c r="D57" s="64">
        <f>D37+D50</f>
        <v>11157053.851</v>
      </c>
      <c r="E57" s="792" t="s">
        <v>37</v>
      </c>
      <c r="F57" s="94"/>
      <c r="G57" s="95"/>
      <c r="H57" s="879">
        <f>H37+H50</f>
        <v>11157054.052125985</v>
      </c>
      <c r="I57" s="214"/>
    </row>
    <row r="58" spans="1:9" ht="35.25" customHeight="1" thickBot="1" x14ac:dyDescent="0.3">
      <c r="A58" s="793" t="s">
        <v>92</v>
      </c>
      <c r="B58" s="794"/>
      <c r="C58" s="794"/>
      <c r="D58" s="794"/>
      <c r="E58" s="794"/>
      <c r="F58" s="794"/>
      <c r="G58" s="794"/>
      <c r="H58" s="867"/>
    </row>
    <row r="59" spans="1:9" ht="25.5" x14ac:dyDescent="0.25">
      <c r="A59" s="795" t="s">
        <v>30</v>
      </c>
      <c r="B59" s="796"/>
      <c r="C59" s="796"/>
      <c r="D59" s="16" t="s">
        <v>937</v>
      </c>
      <c r="E59" s="797" t="s">
        <v>33</v>
      </c>
      <c r="F59" s="798"/>
      <c r="G59" s="798"/>
      <c r="H59" s="883" t="s">
        <v>937</v>
      </c>
    </row>
    <row r="60" spans="1:9" x14ac:dyDescent="0.25">
      <c r="A60" s="30" t="s">
        <v>31</v>
      </c>
      <c r="B60" s="35"/>
      <c r="C60" s="43"/>
      <c r="D60" s="20">
        <f>D61+D69</f>
        <v>2202781</v>
      </c>
      <c r="E60" s="78" t="s">
        <v>34</v>
      </c>
      <c r="F60" s="83"/>
      <c r="G60" s="84"/>
      <c r="H60" s="872">
        <f>H61+H69</f>
        <v>8199481.0521259848</v>
      </c>
    </row>
    <row r="61" spans="1:9" x14ac:dyDescent="0.25">
      <c r="A61" s="44"/>
      <c r="B61" s="35" t="s">
        <v>14</v>
      </c>
      <c r="C61" s="43"/>
      <c r="D61" s="20">
        <f>SUM(D62:D65)</f>
        <v>2202781</v>
      </c>
      <c r="E61" s="85"/>
      <c r="F61" s="83" t="s">
        <v>35</v>
      </c>
      <c r="G61" s="84"/>
      <c r="H61" s="872">
        <f>SUM(H62:H66)</f>
        <v>7260669</v>
      </c>
    </row>
    <row r="62" spans="1:9" x14ac:dyDescent="0.25">
      <c r="A62" s="45"/>
      <c r="B62" s="47" t="s">
        <v>10</v>
      </c>
      <c r="C62" s="46" t="s">
        <v>93</v>
      </c>
      <c r="D62" s="23">
        <f>+'2. melléklet'!L47</f>
        <v>863000</v>
      </c>
      <c r="E62" s="86"/>
      <c r="F62" s="91" t="s">
        <v>21</v>
      </c>
      <c r="G62" s="88" t="s">
        <v>2</v>
      </c>
      <c r="H62" s="873">
        <f>+'3. melléklet'!L22</f>
        <v>3631666</v>
      </c>
    </row>
    <row r="63" spans="1:9" x14ac:dyDescent="0.25">
      <c r="A63" s="45"/>
      <c r="B63" s="47" t="s">
        <v>12</v>
      </c>
      <c r="C63" s="46" t="s">
        <v>0</v>
      </c>
      <c r="D63" s="23">
        <f>+'2. melléklet'!L186</f>
        <v>0</v>
      </c>
      <c r="E63" s="86"/>
      <c r="F63" s="91" t="s">
        <v>22</v>
      </c>
      <c r="G63" s="88" t="s">
        <v>99</v>
      </c>
      <c r="H63" s="873">
        <f>+'3. melléklet'!L23</f>
        <v>514613</v>
      </c>
    </row>
    <row r="64" spans="1:9" x14ac:dyDescent="0.25">
      <c r="A64" s="45"/>
      <c r="B64" s="47" t="s">
        <v>13</v>
      </c>
      <c r="C64" s="46" t="s">
        <v>14</v>
      </c>
      <c r="D64" s="23">
        <f>+'2. melléklet'!L222</f>
        <v>1339781</v>
      </c>
      <c r="E64" s="86"/>
      <c r="F64" s="91" t="s">
        <v>23</v>
      </c>
      <c r="G64" s="88" t="s">
        <v>3</v>
      </c>
      <c r="H64" s="873">
        <f>+'3. melléklet'!L61</f>
        <v>3114390</v>
      </c>
    </row>
    <row r="65" spans="1:8" x14ac:dyDescent="0.25">
      <c r="A65" s="54"/>
      <c r="B65" s="208" t="s">
        <v>17</v>
      </c>
      <c r="C65" s="55" t="s">
        <v>1</v>
      </c>
      <c r="D65" s="24">
        <f>+'2. melléklet'!L257</f>
        <v>0</v>
      </c>
      <c r="E65" s="86"/>
      <c r="F65" s="91" t="s">
        <v>24</v>
      </c>
      <c r="G65" s="88" t="s">
        <v>8</v>
      </c>
      <c r="H65" s="873">
        <f>+'3. melléklet'!L125</f>
        <v>0</v>
      </c>
    </row>
    <row r="66" spans="1:8" x14ac:dyDescent="0.25">
      <c r="A66" s="183"/>
      <c r="B66" s="184"/>
      <c r="C66" s="185"/>
      <c r="D66" s="186"/>
      <c r="E66" s="86"/>
      <c r="F66" s="91" t="s">
        <v>25</v>
      </c>
      <c r="G66" s="89" t="s">
        <v>4</v>
      </c>
      <c r="H66" s="873">
        <f>+'3. melléklet'!L197</f>
        <v>0</v>
      </c>
    </row>
    <row r="67" spans="1:8" x14ac:dyDescent="0.25">
      <c r="A67" s="187"/>
      <c r="B67" s="188"/>
      <c r="C67" s="189"/>
      <c r="D67" s="190"/>
      <c r="E67" s="86"/>
      <c r="F67" s="87"/>
      <c r="G67" s="206" t="s">
        <v>57</v>
      </c>
      <c r="H67" s="874">
        <f>+'3. melléklet'!L195</f>
        <v>0</v>
      </c>
    </row>
    <row r="68" spans="1:8" x14ac:dyDescent="0.25">
      <c r="A68" s="187"/>
      <c r="B68" s="191"/>
      <c r="C68" s="189"/>
      <c r="D68" s="190"/>
      <c r="E68" s="90"/>
      <c r="F68" s="91"/>
      <c r="G68" s="199" t="s">
        <v>58</v>
      </c>
      <c r="H68" s="884">
        <f>+'3. melléklet'!L196</f>
        <v>0</v>
      </c>
    </row>
    <row r="69" spans="1:8" x14ac:dyDescent="0.25">
      <c r="A69" s="876"/>
      <c r="B69" s="35" t="s">
        <v>16</v>
      </c>
      <c r="C69" s="56"/>
      <c r="D69" s="57">
        <f>SUM(D70:D72)</f>
        <v>0</v>
      </c>
      <c r="E69" s="85"/>
      <c r="F69" s="83" t="s">
        <v>36</v>
      </c>
      <c r="G69" s="84"/>
      <c r="H69" s="872">
        <f>SUM(H70:H72)</f>
        <v>938812.05212598434</v>
      </c>
    </row>
    <row r="70" spans="1:8" x14ac:dyDescent="0.25">
      <c r="A70" s="45"/>
      <c r="B70" s="209" t="s">
        <v>11</v>
      </c>
      <c r="C70" s="49" t="s">
        <v>94</v>
      </c>
      <c r="D70" s="50">
        <f>+'2. melléklet'!L83</f>
        <v>0</v>
      </c>
      <c r="E70" s="86"/>
      <c r="F70" s="91" t="s">
        <v>26</v>
      </c>
      <c r="G70" s="88" t="s">
        <v>5</v>
      </c>
      <c r="H70" s="873">
        <f>+'3. melléklet'!L207</f>
        <v>286013.54212598427</v>
      </c>
    </row>
    <row r="71" spans="1:8" x14ac:dyDescent="0.25">
      <c r="A71" s="30"/>
      <c r="B71" s="210" t="s">
        <v>15</v>
      </c>
      <c r="C71" s="46" t="s">
        <v>16</v>
      </c>
      <c r="D71" s="50">
        <f>+'2. melléklet'!L231</f>
        <v>0</v>
      </c>
      <c r="E71" s="86"/>
      <c r="F71" s="91" t="s">
        <v>27</v>
      </c>
      <c r="G71" s="88" t="s">
        <v>6</v>
      </c>
      <c r="H71" s="873">
        <f>+'3. melléklet'!L212</f>
        <v>652798.51</v>
      </c>
    </row>
    <row r="72" spans="1:8" x14ac:dyDescent="0.25">
      <c r="A72" s="30"/>
      <c r="B72" s="210" t="s">
        <v>18</v>
      </c>
      <c r="C72" s="51" t="s">
        <v>19</v>
      </c>
      <c r="D72" s="50">
        <f>+'2. melléklet'!L283</f>
        <v>0</v>
      </c>
      <c r="E72" s="86"/>
      <c r="F72" s="91" t="s">
        <v>28</v>
      </c>
      <c r="G72" s="88" t="s">
        <v>7</v>
      </c>
      <c r="H72" s="873">
        <f>+'3. melléklet'!L274</f>
        <v>0</v>
      </c>
    </row>
    <row r="73" spans="1:8" x14ac:dyDescent="0.25">
      <c r="A73" s="30" t="s">
        <v>135</v>
      </c>
      <c r="B73" s="52"/>
      <c r="C73" s="18"/>
      <c r="D73" s="48">
        <f>SUM(D77:D79,D74)</f>
        <v>5996700.0521259848</v>
      </c>
      <c r="E73" s="78" t="s">
        <v>136</v>
      </c>
      <c r="F73" s="83"/>
      <c r="G73" s="84"/>
      <c r="H73" s="872">
        <f>SUM(H77:H79,H74)</f>
        <v>0</v>
      </c>
    </row>
    <row r="74" spans="1:8" x14ac:dyDescent="0.25">
      <c r="A74" s="30"/>
      <c r="B74" s="210" t="s">
        <v>52</v>
      </c>
      <c r="C74" s="46" t="s">
        <v>51</v>
      </c>
      <c r="D74" s="23">
        <f>+'2. melléklet'!L307</f>
        <v>5996700.0521259848</v>
      </c>
      <c r="E74" s="78"/>
      <c r="F74" s="91" t="s">
        <v>71</v>
      </c>
      <c r="G74" s="92" t="s">
        <v>100</v>
      </c>
      <c r="H74" s="873">
        <f>+'3. melléklet'!L304</f>
        <v>0</v>
      </c>
    </row>
    <row r="75" spans="1:8" x14ac:dyDescent="0.25">
      <c r="A75" s="31"/>
      <c r="B75" s="47"/>
      <c r="C75" s="200" t="s">
        <v>96</v>
      </c>
      <c r="D75" s="201">
        <f>+'2. melléklet'!L295</f>
        <v>0</v>
      </c>
      <c r="E75" s="78"/>
      <c r="F75" s="91"/>
      <c r="G75" s="207" t="s">
        <v>101</v>
      </c>
      <c r="H75" s="874">
        <v>0</v>
      </c>
    </row>
    <row r="76" spans="1:8" x14ac:dyDescent="0.25">
      <c r="A76" s="31"/>
      <c r="B76" s="47"/>
      <c r="C76" s="205" t="s">
        <v>95</v>
      </c>
      <c r="D76" s="201">
        <f>+'2. melléklet'!L298</f>
        <v>1530000</v>
      </c>
      <c r="E76" s="86"/>
      <c r="F76" s="91"/>
      <c r="G76" s="207" t="s">
        <v>102</v>
      </c>
      <c r="H76" s="874">
        <v>0</v>
      </c>
    </row>
    <row r="77" spans="1:8" x14ac:dyDescent="0.25">
      <c r="A77" s="31"/>
      <c r="B77" s="47" t="s">
        <v>54</v>
      </c>
      <c r="C77" s="34" t="s">
        <v>53</v>
      </c>
      <c r="D77" s="25">
        <f>+'2. melléklet'!L313</f>
        <v>0</v>
      </c>
      <c r="E77" s="86"/>
      <c r="F77" s="91" t="s">
        <v>72</v>
      </c>
      <c r="G77" s="96" t="s">
        <v>103</v>
      </c>
      <c r="H77" s="878">
        <f>+'3. melléklet'!L312</f>
        <v>0</v>
      </c>
    </row>
    <row r="78" spans="1:8" x14ac:dyDescent="0.25">
      <c r="A78" s="17"/>
      <c r="B78" s="47" t="s">
        <v>55</v>
      </c>
      <c r="C78" s="26" t="s">
        <v>50</v>
      </c>
      <c r="D78" s="22">
        <f>+'2. melléklet'!L314</f>
        <v>0</v>
      </c>
      <c r="E78" s="73"/>
      <c r="F78" s="91" t="s">
        <v>74</v>
      </c>
      <c r="G78" s="79" t="s">
        <v>73</v>
      </c>
      <c r="H78" s="885">
        <f>+'3. melléklet'!L313</f>
        <v>0</v>
      </c>
    </row>
    <row r="79" spans="1:8" x14ac:dyDescent="0.25">
      <c r="A79" s="58"/>
      <c r="B79" s="47" t="s">
        <v>56</v>
      </c>
      <c r="C79" s="41" t="s">
        <v>97</v>
      </c>
      <c r="D79" s="33">
        <f>+'2. melléklet'!L315</f>
        <v>0</v>
      </c>
      <c r="E79" s="90"/>
      <c r="F79" s="91" t="s">
        <v>76</v>
      </c>
      <c r="G79" s="79" t="s">
        <v>75</v>
      </c>
      <c r="H79" s="885">
        <f>+'3. melléklet'!L314</f>
        <v>0</v>
      </c>
    </row>
    <row r="80" spans="1:8" ht="16.5" thickBot="1" x14ac:dyDescent="0.3">
      <c r="A80" s="67" t="s">
        <v>32</v>
      </c>
      <c r="B80" s="65"/>
      <c r="C80" s="66"/>
      <c r="D80" s="64">
        <f>D60+D73</f>
        <v>8199481.0521259848</v>
      </c>
      <c r="E80" s="792" t="s">
        <v>37</v>
      </c>
      <c r="F80" s="97"/>
      <c r="G80" s="98"/>
      <c r="H80" s="886">
        <f>H60+H73</f>
        <v>8199481.0521259848</v>
      </c>
    </row>
  </sheetData>
  <mergeCells count="16">
    <mergeCell ref="A1:H1"/>
    <mergeCell ref="A2:H2"/>
    <mergeCell ref="A3:C3"/>
    <mergeCell ref="E3:G3"/>
    <mergeCell ref="A27:C27"/>
    <mergeCell ref="E27:G27"/>
    <mergeCell ref="E4:G4"/>
    <mergeCell ref="A59:C59"/>
    <mergeCell ref="E59:G59"/>
    <mergeCell ref="A28:C28"/>
    <mergeCell ref="E28:G28"/>
    <mergeCell ref="E29:H34"/>
    <mergeCell ref="A36:C36"/>
    <mergeCell ref="E36:G36"/>
    <mergeCell ref="A35:H35"/>
    <mergeCell ref="A58:H58"/>
  </mergeCells>
  <pageMargins left="0.47244094488188981" right="0.31496062992125984" top="0.74803149606299213" bottom="0.74803149606299213" header="0.31496062992125984" footer="0.31496062992125984"/>
  <pageSetup paperSize="9" scale="80" fitToHeight="0" orientation="landscape" r:id="rId1"/>
  <headerFooter>
    <oddHeader>&amp;R1. melléklet az .../2021. (XII. .....) önkormányzati rendelethez</oddHeader>
  </headerFooter>
  <rowBreaks count="2" manualBreakCount="2">
    <brk id="34" max="16383" man="1"/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8"/>
  <sheetViews>
    <sheetView showGridLines="0" view="pageBreakPreview" zoomScale="96" zoomScaleNormal="120" zoomScaleSheetLayoutView="96" zoomScalePageLayoutView="150" workbookViewId="0">
      <selection activeCell="G8" sqref="G8"/>
    </sheetView>
  </sheetViews>
  <sheetFormatPr defaultColWidth="9.140625" defaultRowHeight="20.100000000000001" customHeight="1" x14ac:dyDescent="0.2"/>
  <cols>
    <col min="1" max="1" width="49" style="572" customWidth="1"/>
    <col min="2" max="2" width="4.7109375" style="573" customWidth="1"/>
    <col min="3" max="3" width="13.140625" style="577" customWidth="1"/>
    <col min="4" max="4" width="14.140625" style="574" customWidth="1"/>
    <col min="5" max="5" width="11.85546875" style="574" customWidth="1"/>
    <col min="6" max="6" width="15" style="506" customWidth="1"/>
    <col min="7" max="7" width="10.7109375" style="506" customWidth="1"/>
    <col min="8" max="8" width="12.140625" style="506" customWidth="1"/>
    <col min="9" max="9" width="15.28515625" style="506" customWidth="1"/>
    <col min="10" max="10" width="17.140625" style="506" customWidth="1"/>
    <col min="11" max="11" width="17" style="575" customWidth="1"/>
    <col min="12" max="12" width="14.5703125" style="576" hidden="1" customWidth="1"/>
    <col min="13" max="16384" width="9.140625" style="506"/>
  </cols>
  <sheetData>
    <row r="1" spans="1:12" s="501" customFormat="1" ht="129" customHeight="1" x14ac:dyDescent="0.2">
      <c r="A1" s="436"/>
      <c r="B1" s="816" t="s">
        <v>109</v>
      </c>
      <c r="C1" s="896" t="s">
        <v>87</v>
      </c>
      <c r="D1" s="896" t="s">
        <v>105</v>
      </c>
      <c r="E1" s="896" t="s">
        <v>106</v>
      </c>
      <c r="F1" s="896" t="s">
        <v>90</v>
      </c>
      <c r="G1" s="896" t="s">
        <v>253</v>
      </c>
      <c r="H1" s="896" t="s">
        <v>88</v>
      </c>
      <c r="I1" s="896" t="s">
        <v>89</v>
      </c>
      <c r="J1" s="896" t="s">
        <v>252</v>
      </c>
      <c r="K1" s="578" t="s">
        <v>86</v>
      </c>
      <c r="L1" s="295" t="s">
        <v>1063</v>
      </c>
    </row>
    <row r="2" spans="1:12" s="502" customFormat="1" ht="45" customHeight="1" thickBot="1" x14ac:dyDescent="0.25">
      <c r="A2" s="437" t="s">
        <v>887</v>
      </c>
      <c r="B2" s="817"/>
      <c r="C2" s="297" t="s">
        <v>937</v>
      </c>
      <c r="D2" s="297" t="s">
        <v>937</v>
      </c>
      <c r="E2" s="297" t="s">
        <v>937</v>
      </c>
      <c r="F2" s="297" t="s">
        <v>937</v>
      </c>
      <c r="G2" s="297" t="s">
        <v>937</v>
      </c>
      <c r="H2" s="297" t="s">
        <v>937</v>
      </c>
      <c r="I2" s="297" t="s">
        <v>937</v>
      </c>
      <c r="J2" s="297" t="s">
        <v>937</v>
      </c>
      <c r="K2" s="298" t="s">
        <v>937</v>
      </c>
      <c r="L2" s="299" t="s">
        <v>937</v>
      </c>
    </row>
    <row r="3" spans="1:12" s="504" customFormat="1" ht="26.25" customHeight="1" x14ac:dyDescent="0.2">
      <c r="A3" s="438" t="s">
        <v>256</v>
      </c>
      <c r="B3" s="503"/>
      <c r="C3" s="439">
        <f>483931851/1000</f>
        <v>483931.85100000002</v>
      </c>
      <c r="D3" s="439"/>
      <c r="E3" s="439"/>
      <c r="F3" s="439"/>
      <c r="G3" s="439"/>
      <c r="H3" s="439"/>
      <c r="I3" s="439"/>
      <c r="J3" s="439"/>
      <c r="K3" s="440">
        <f>C3+D3+E3+F3+G3+H3+I3+J3</f>
        <v>483931.85100000002</v>
      </c>
      <c r="L3" s="441">
        <f>D3+E3+F3+G3+H3+I3+J3</f>
        <v>0</v>
      </c>
    </row>
    <row r="4" spans="1:12" ht="26.25" customHeight="1" x14ac:dyDescent="0.2">
      <c r="A4" s="442" t="s">
        <v>257</v>
      </c>
      <c r="B4" s="505"/>
      <c r="C4" s="443">
        <f>372774250/1000</f>
        <v>372774.25</v>
      </c>
      <c r="D4" s="443"/>
      <c r="E4" s="443"/>
      <c r="F4" s="443"/>
      <c r="G4" s="443"/>
      <c r="H4" s="443"/>
      <c r="I4" s="443"/>
      <c r="J4" s="443"/>
      <c r="K4" s="440">
        <f>C4+D4+E4+F4+G4+H4+I4+J4</f>
        <v>372774.25</v>
      </c>
      <c r="L4" s="441">
        <f>D4+E4+F4+G4+H4+I4+J4</f>
        <v>0</v>
      </c>
    </row>
    <row r="5" spans="1:12" s="508" customFormat="1" ht="42" customHeight="1" x14ac:dyDescent="0.2">
      <c r="A5" s="444" t="s">
        <v>258</v>
      </c>
      <c r="B5" s="507"/>
      <c r="C5" s="445">
        <f>C6+C7</f>
        <v>403884.06200000003</v>
      </c>
      <c r="D5" s="445">
        <f t="shared" ref="D5:J5" si="0">D6+D7</f>
        <v>0</v>
      </c>
      <c r="E5" s="445">
        <f t="shared" si="0"/>
        <v>0</v>
      </c>
      <c r="F5" s="445">
        <f t="shared" si="0"/>
        <v>0</v>
      </c>
      <c r="G5" s="445">
        <f t="shared" si="0"/>
        <v>0</v>
      </c>
      <c r="H5" s="445">
        <f t="shared" si="0"/>
        <v>0</v>
      </c>
      <c r="I5" s="445">
        <f t="shared" si="0"/>
        <v>0</v>
      </c>
      <c r="J5" s="445">
        <f t="shared" si="0"/>
        <v>0</v>
      </c>
      <c r="K5" s="440">
        <f>C5+D5+E5+F5+G5+H5+I5+J5</f>
        <v>403884.06200000003</v>
      </c>
      <c r="L5" s="441">
        <f>D5+E5+F5+G5+H5+I5+J5</f>
        <v>0</v>
      </c>
    </row>
    <row r="6" spans="1:12" s="510" customFormat="1" ht="27" customHeight="1" x14ac:dyDescent="0.2">
      <c r="A6" s="446" t="s">
        <v>900</v>
      </c>
      <c r="B6" s="509"/>
      <c r="C6" s="447">
        <f>+(21798032+72046700)/1000+210000</f>
        <v>303844.73200000002</v>
      </c>
      <c r="D6" s="447"/>
      <c r="E6" s="447"/>
      <c r="F6" s="447"/>
      <c r="G6" s="447"/>
      <c r="H6" s="447"/>
      <c r="I6" s="447"/>
      <c r="J6" s="447"/>
      <c r="K6" s="440">
        <f>C6+D6+E6+F6+G6+H6+I6+J6</f>
        <v>303844.73200000002</v>
      </c>
      <c r="L6" s="441">
        <f>D6+E6+F6+G6+H6+I6+J6</f>
        <v>0</v>
      </c>
    </row>
    <row r="7" spans="1:12" s="510" customFormat="1" ht="29.25" customHeight="1" x14ac:dyDescent="0.2">
      <c r="A7" s="446" t="s">
        <v>901</v>
      </c>
      <c r="B7" s="511"/>
      <c r="C7" s="447">
        <f>39330/1000+100000</f>
        <v>100039.33</v>
      </c>
      <c r="D7" s="447"/>
      <c r="E7" s="447"/>
      <c r="F7" s="447"/>
      <c r="G7" s="447"/>
      <c r="H7" s="447"/>
      <c r="I7" s="447"/>
      <c r="J7" s="447"/>
      <c r="K7" s="440">
        <f>C7+D7+E7+F7+G7+H7+I7+J7</f>
        <v>100039.33</v>
      </c>
      <c r="L7" s="441">
        <f>D7+E7+F7+G7+H7+I7+J7</f>
        <v>0</v>
      </c>
    </row>
    <row r="8" spans="1:12" ht="27.75" customHeight="1" x14ac:dyDescent="0.2">
      <c r="A8" s="442" t="s">
        <v>259</v>
      </c>
      <c r="B8" s="505"/>
      <c r="C8" s="443">
        <f>14748688/1000</f>
        <v>14748.688</v>
      </c>
      <c r="D8" s="443"/>
      <c r="E8" s="443"/>
      <c r="F8" s="443"/>
      <c r="G8" s="443"/>
      <c r="H8" s="443"/>
      <c r="I8" s="443"/>
      <c r="J8" s="443"/>
      <c r="K8" s="440">
        <f>C8+D8+E8+F8+G8+H8+I8+J8</f>
        <v>14748.688</v>
      </c>
      <c r="L8" s="441">
        <f>D8+E8+F8+G8+H8+I8+J8</f>
        <v>0</v>
      </c>
    </row>
    <row r="9" spans="1:12" ht="26.25" customHeight="1" x14ac:dyDescent="0.2">
      <c r="A9" s="442" t="s">
        <v>260</v>
      </c>
      <c r="B9" s="505"/>
      <c r="C9" s="448"/>
      <c r="D9" s="443"/>
      <c r="E9" s="443"/>
      <c r="F9" s="443"/>
      <c r="G9" s="443"/>
      <c r="H9" s="443"/>
      <c r="I9" s="443"/>
      <c r="J9" s="443"/>
      <c r="K9" s="440">
        <f>C9+D9+E9+F9+G9+H9+I9+J9</f>
        <v>0</v>
      </c>
      <c r="L9" s="441">
        <f>D9+E9+F9+G9+H9+I9+J9</f>
        <v>0</v>
      </c>
    </row>
    <row r="10" spans="1:12" ht="20.100000000000001" customHeight="1" x14ac:dyDescent="0.2">
      <c r="A10" s="442" t="s">
        <v>261</v>
      </c>
      <c r="B10" s="505"/>
      <c r="C10" s="448"/>
      <c r="D10" s="443"/>
      <c r="E10" s="443"/>
      <c r="F10" s="443"/>
      <c r="G10" s="443"/>
      <c r="H10" s="443"/>
      <c r="I10" s="443"/>
      <c r="J10" s="443"/>
      <c r="K10" s="440">
        <f>C10+D10+E10+F10+G10+H10+I10+J10</f>
        <v>0</v>
      </c>
      <c r="L10" s="441">
        <f>D10+E10+F10+G10+H10+I10+J10</f>
        <v>0</v>
      </c>
    </row>
    <row r="11" spans="1:12" s="513" customFormat="1" ht="27" customHeight="1" x14ac:dyDescent="0.2">
      <c r="A11" s="449" t="s">
        <v>262</v>
      </c>
      <c r="B11" s="512"/>
      <c r="C11" s="450">
        <f>SUM(C8:C10,C3:C5)</f>
        <v>1275338.8510000003</v>
      </c>
      <c r="D11" s="450"/>
      <c r="E11" s="450"/>
      <c r="F11" s="450"/>
      <c r="G11" s="450"/>
      <c r="H11" s="450"/>
      <c r="I11" s="450"/>
      <c r="J11" s="450"/>
      <c r="K11" s="440">
        <f>C11+D11+E11+F11+G11+H11+I11+J11</f>
        <v>1275338.8510000003</v>
      </c>
      <c r="L11" s="441">
        <f>D11+E11+F11+G11+H11+I11+J11</f>
        <v>0</v>
      </c>
    </row>
    <row r="12" spans="1:12" s="515" customFormat="1" ht="20.100000000000001" hidden="1" customHeight="1" x14ac:dyDescent="0.2">
      <c r="A12" s="451" t="s">
        <v>263</v>
      </c>
      <c r="B12" s="514"/>
      <c r="C12" s="452">
        <v>0</v>
      </c>
      <c r="D12" s="453"/>
      <c r="E12" s="453"/>
      <c r="F12" s="453"/>
      <c r="G12" s="453"/>
      <c r="H12" s="453"/>
      <c r="I12" s="453"/>
      <c r="J12" s="453"/>
      <c r="K12" s="440">
        <f>C12+D12+E12+F12+G12+H12+I12+J12</f>
        <v>0</v>
      </c>
      <c r="L12" s="441">
        <f>D12+E12+F12+G12+H12+I12+J12</f>
        <v>0</v>
      </c>
    </row>
    <row r="13" spans="1:12" s="515" customFormat="1" ht="41.25" hidden="1" customHeight="1" x14ac:dyDescent="0.2">
      <c r="A13" s="451" t="s">
        <v>264</v>
      </c>
      <c r="B13" s="514"/>
      <c r="C13" s="452">
        <v>0</v>
      </c>
      <c r="D13" s="453"/>
      <c r="E13" s="453"/>
      <c r="F13" s="453"/>
      <c r="G13" s="453"/>
      <c r="H13" s="453"/>
      <c r="I13" s="453"/>
      <c r="J13" s="453"/>
      <c r="K13" s="440">
        <f>C13+D13+E13+F13+G13+H13+I13+J13</f>
        <v>0</v>
      </c>
      <c r="L13" s="441">
        <f>D13+E13+F13+G13+H13+I13+J13</f>
        <v>0</v>
      </c>
    </row>
    <row r="14" spans="1:12" s="517" customFormat="1" ht="42" hidden="1" customHeight="1" x14ac:dyDescent="0.2">
      <c r="A14" s="449" t="s">
        <v>265</v>
      </c>
      <c r="B14" s="516"/>
      <c r="C14" s="450">
        <f>SUM(C15:C24)</f>
        <v>0</v>
      </c>
      <c r="D14" s="450">
        <f t="shared" ref="D14:J14" si="1">SUM(D15:D24)</f>
        <v>0</v>
      </c>
      <c r="E14" s="450">
        <f t="shared" si="1"/>
        <v>0</v>
      </c>
      <c r="F14" s="450">
        <f t="shared" si="1"/>
        <v>0</v>
      </c>
      <c r="G14" s="450">
        <f t="shared" si="1"/>
        <v>0</v>
      </c>
      <c r="H14" s="450">
        <f t="shared" si="1"/>
        <v>0</v>
      </c>
      <c r="I14" s="450">
        <f t="shared" si="1"/>
        <v>0</v>
      </c>
      <c r="J14" s="450">
        <f t="shared" si="1"/>
        <v>0</v>
      </c>
      <c r="K14" s="440">
        <f>C14+D14+E14+F14+G14+H14+I14+J14</f>
        <v>0</v>
      </c>
      <c r="L14" s="441">
        <f>D14+E14+F14+G14+H14+I14+J14</f>
        <v>0</v>
      </c>
    </row>
    <row r="15" spans="1:12" s="519" customFormat="1" ht="20.100000000000001" hidden="1" customHeight="1" x14ac:dyDescent="0.2">
      <c r="A15" s="446" t="s">
        <v>266</v>
      </c>
      <c r="B15" s="518"/>
      <c r="C15" s="454"/>
      <c r="D15" s="455"/>
      <c r="E15" s="455"/>
      <c r="F15" s="455"/>
      <c r="G15" s="455"/>
      <c r="H15" s="455"/>
      <c r="I15" s="455"/>
      <c r="J15" s="455"/>
      <c r="K15" s="440">
        <f>C15+D15+E15+F15+G15+H15+I15+J15</f>
        <v>0</v>
      </c>
      <c r="L15" s="441">
        <f>D15+E15+F15+G15+H15+I15+J15</f>
        <v>0</v>
      </c>
    </row>
    <row r="16" spans="1:12" s="520" customFormat="1" ht="20.100000000000001" hidden="1" customHeight="1" x14ac:dyDescent="0.2">
      <c r="A16" s="446" t="s">
        <v>267</v>
      </c>
      <c r="B16" s="509"/>
      <c r="C16" s="454"/>
      <c r="D16" s="456"/>
      <c r="E16" s="456"/>
      <c r="F16" s="456"/>
      <c r="G16" s="456"/>
      <c r="H16" s="456"/>
      <c r="I16" s="456"/>
      <c r="J16" s="456"/>
      <c r="K16" s="440">
        <f>C16+D16+E16+F16+G16+H16+I16+J16</f>
        <v>0</v>
      </c>
      <c r="L16" s="441">
        <f>D16+E16+F16+G16+H16+I16+J16</f>
        <v>0</v>
      </c>
    </row>
    <row r="17" spans="1:12" s="520" customFormat="1" ht="27" hidden="1" customHeight="1" x14ac:dyDescent="0.2">
      <c r="A17" s="446" t="s">
        <v>268</v>
      </c>
      <c r="B17" s="509"/>
      <c r="C17" s="454"/>
      <c r="D17" s="456"/>
      <c r="E17" s="456"/>
      <c r="F17" s="456"/>
      <c r="G17" s="456"/>
      <c r="H17" s="456"/>
      <c r="I17" s="456"/>
      <c r="J17" s="456"/>
      <c r="K17" s="440">
        <f>C17+D17+E17+F17+G17+H17+I17+J17</f>
        <v>0</v>
      </c>
      <c r="L17" s="441">
        <f>D17+E17+F17+G17+H17+I17+J17</f>
        <v>0</v>
      </c>
    </row>
    <row r="18" spans="1:12" s="520" customFormat="1" ht="20.100000000000001" hidden="1" customHeight="1" x14ac:dyDescent="0.2">
      <c r="A18" s="446" t="s">
        <v>269</v>
      </c>
      <c r="B18" s="509"/>
      <c r="C18" s="454"/>
      <c r="D18" s="456"/>
      <c r="E18" s="456"/>
      <c r="F18" s="456"/>
      <c r="G18" s="456"/>
      <c r="H18" s="456"/>
      <c r="I18" s="456"/>
      <c r="J18" s="456"/>
      <c r="K18" s="440">
        <f>C18+D18+E18+F18+G18+H18+I18+J18</f>
        <v>0</v>
      </c>
      <c r="L18" s="441">
        <f>D18+E18+F18+G18+H18+I18+J18</f>
        <v>0</v>
      </c>
    </row>
    <row r="19" spans="1:12" s="520" customFormat="1" ht="20.100000000000001" hidden="1" customHeight="1" x14ac:dyDescent="0.2">
      <c r="A19" s="446" t="s">
        <v>270</v>
      </c>
      <c r="B19" s="509"/>
      <c r="C19" s="454"/>
      <c r="D19" s="456"/>
      <c r="E19" s="456"/>
      <c r="F19" s="456"/>
      <c r="G19" s="456"/>
      <c r="H19" s="456"/>
      <c r="I19" s="456"/>
      <c r="J19" s="456"/>
      <c r="K19" s="440">
        <f>C19+D19+E19+F19+G19+H19+I19+J19</f>
        <v>0</v>
      </c>
      <c r="L19" s="441">
        <f>D19+E19+F19+G19+H19+I19+J19</f>
        <v>0</v>
      </c>
    </row>
    <row r="20" spans="1:12" s="520" customFormat="1" ht="20.100000000000001" hidden="1" customHeight="1" x14ac:dyDescent="0.2">
      <c r="A20" s="446" t="s">
        <v>271</v>
      </c>
      <c r="B20" s="509"/>
      <c r="C20" s="454"/>
      <c r="D20" s="447"/>
      <c r="E20" s="456"/>
      <c r="F20" s="456"/>
      <c r="G20" s="456"/>
      <c r="H20" s="456"/>
      <c r="I20" s="456"/>
      <c r="J20" s="456"/>
      <c r="K20" s="440">
        <f>C20+D20+E20+F20+G20+H20+I20+J20</f>
        <v>0</v>
      </c>
      <c r="L20" s="441">
        <f>D20+E20+F20+G20+H20+I20+J20</f>
        <v>0</v>
      </c>
    </row>
    <row r="21" spans="1:12" s="520" customFormat="1" ht="29.25" hidden="1" customHeight="1" x14ac:dyDescent="0.2">
      <c r="A21" s="446" t="s">
        <v>272</v>
      </c>
      <c r="B21" s="509"/>
      <c r="C21" s="454"/>
      <c r="D21" s="456"/>
      <c r="E21" s="456"/>
      <c r="F21" s="456"/>
      <c r="G21" s="456"/>
      <c r="H21" s="456"/>
      <c r="I21" s="456"/>
      <c r="J21" s="456"/>
      <c r="K21" s="440">
        <f>C21+D21+E21+F21+G21+H21+I21+J21</f>
        <v>0</v>
      </c>
      <c r="L21" s="441">
        <f>D21+E21+F21+G21+H21+I21+J21</f>
        <v>0</v>
      </c>
    </row>
    <row r="22" spans="1:12" s="520" customFormat="1" ht="20.100000000000001" hidden="1" customHeight="1" x14ac:dyDescent="0.2">
      <c r="A22" s="446" t="s">
        <v>273</v>
      </c>
      <c r="B22" s="509"/>
      <c r="C22" s="454"/>
      <c r="D22" s="456"/>
      <c r="E22" s="456"/>
      <c r="F22" s="456"/>
      <c r="G22" s="456"/>
      <c r="H22" s="456"/>
      <c r="I22" s="456"/>
      <c r="J22" s="456"/>
      <c r="K22" s="440">
        <f>C22+D22+E22+F22+G22+H22+I22+J22</f>
        <v>0</v>
      </c>
      <c r="L22" s="441">
        <f>D22+E22+F22+G22+H22+I22+J22</f>
        <v>0</v>
      </c>
    </row>
    <row r="23" spans="1:12" s="520" customFormat="1" ht="27" hidden="1" customHeight="1" x14ac:dyDescent="0.2">
      <c r="A23" s="446" t="s">
        <v>274</v>
      </c>
      <c r="B23" s="509"/>
      <c r="C23" s="454"/>
      <c r="D23" s="456"/>
      <c r="E23" s="456"/>
      <c r="F23" s="456"/>
      <c r="G23" s="456"/>
      <c r="H23" s="456"/>
      <c r="I23" s="456"/>
      <c r="J23" s="456"/>
      <c r="K23" s="440">
        <f>C23+D23+E23+F23+G23+H23+I23+J23</f>
        <v>0</v>
      </c>
      <c r="L23" s="441">
        <f>D23+E23+F23+G23+H23+I23+J23</f>
        <v>0</v>
      </c>
    </row>
    <row r="24" spans="1:12" s="520" customFormat="1" ht="30" hidden="1" customHeight="1" x14ac:dyDescent="0.2">
      <c r="A24" s="446" t="s">
        <v>275</v>
      </c>
      <c r="B24" s="509"/>
      <c r="C24" s="454"/>
      <c r="D24" s="456"/>
      <c r="E24" s="456"/>
      <c r="F24" s="456"/>
      <c r="G24" s="456"/>
      <c r="H24" s="456"/>
      <c r="I24" s="456"/>
      <c r="J24" s="456"/>
      <c r="K24" s="440">
        <f>C24+D24+E24+F24+G24+H24+I24+J24</f>
        <v>0</v>
      </c>
      <c r="L24" s="441">
        <f>D24+E24+F24+G24+H24+I24+J24</f>
        <v>0</v>
      </c>
    </row>
    <row r="25" spans="1:12" s="513" customFormat="1" ht="43.5" hidden="1" customHeight="1" x14ac:dyDescent="0.2">
      <c r="A25" s="449" t="s">
        <v>276</v>
      </c>
      <c r="B25" s="512"/>
      <c r="C25" s="450">
        <f>SUM(C26:C35)</f>
        <v>0</v>
      </c>
      <c r="D25" s="450">
        <f t="shared" ref="D25:J25" si="2">SUM(D26:D35)</f>
        <v>0</v>
      </c>
      <c r="E25" s="450">
        <f t="shared" si="2"/>
        <v>0</v>
      </c>
      <c r="F25" s="450">
        <f t="shared" si="2"/>
        <v>0</v>
      </c>
      <c r="G25" s="450">
        <f t="shared" si="2"/>
        <v>0</v>
      </c>
      <c r="H25" s="450">
        <f t="shared" si="2"/>
        <v>0</v>
      </c>
      <c r="I25" s="450">
        <f t="shared" si="2"/>
        <v>0</v>
      </c>
      <c r="J25" s="450">
        <f t="shared" si="2"/>
        <v>0</v>
      </c>
      <c r="K25" s="440">
        <f>C25+D25+E25+F25+G25+H25+I25+J25</f>
        <v>0</v>
      </c>
      <c r="L25" s="441">
        <f>D25+E25+F25+G25+H25+I25+J25</f>
        <v>0</v>
      </c>
    </row>
    <row r="26" spans="1:12" s="521" customFormat="1" ht="20.100000000000001" hidden="1" customHeight="1" x14ac:dyDescent="0.2">
      <c r="A26" s="446" t="s">
        <v>277</v>
      </c>
      <c r="B26" s="518"/>
      <c r="C26" s="454"/>
      <c r="D26" s="456"/>
      <c r="E26" s="456"/>
      <c r="F26" s="456"/>
      <c r="G26" s="456"/>
      <c r="H26" s="456"/>
      <c r="I26" s="456"/>
      <c r="J26" s="456"/>
      <c r="K26" s="440">
        <f>C26+D26+E26+F26+G26+H26+I26+J26</f>
        <v>0</v>
      </c>
      <c r="L26" s="441">
        <f>D26+E26+F26+G26+H26+I26+J26</f>
        <v>0</v>
      </c>
    </row>
    <row r="27" spans="1:12" s="521" customFormat="1" ht="20.100000000000001" hidden="1" customHeight="1" x14ac:dyDescent="0.2">
      <c r="A27" s="446" t="s">
        <v>278</v>
      </c>
      <c r="B27" s="509"/>
      <c r="C27" s="454"/>
      <c r="D27" s="456"/>
      <c r="E27" s="456"/>
      <c r="F27" s="456"/>
      <c r="G27" s="456"/>
      <c r="H27" s="456"/>
      <c r="I27" s="456"/>
      <c r="J27" s="456"/>
      <c r="K27" s="440">
        <f>C27+D27+E27+F27+G27+H27+I27+J27</f>
        <v>0</v>
      </c>
      <c r="L27" s="441">
        <f>D27+E27+F27+G27+H27+I27+J27</f>
        <v>0</v>
      </c>
    </row>
    <row r="28" spans="1:12" s="521" customFormat="1" ht="27" hidden="1" customHeight="1" x14ac:dyDescent="0.2">
      <c r="A28" s="446" t="s">
        <v>279</v>
      </c>
      <c r="B28" s="509"/>
      <c r="C28" s="454"/>
      <c r="D28" s="456"/>
      <c r="E28" s="456"/>
      <c r="F28" s="456"/>
      <c r="G28" s="456"/>
      <c r="H28" s="456"/>
      <c r="I28" s="456"/>
      <c r="J28" s="456"/>
      <c r="K28" s="440">
        <f>C28+D28+E28+F28+G28+H28+I28+J28</f>
        <v>0</v>
      </c>
      <c r="L28" s="441">
        <f>D28+E28+F28+G28+H28+I28+J28</f>
        <v>0</v>
      </c>
    </row>
    <row r="29" spans="1:12" s="521" customFormat="1" ht="20.100000000000001" hidden="1" customHeight="1" x14ac:dyDescent="0.2">
      <c r="A29" s="446" t="s">
        <v>280</v>
      </c>
      <c r="B29" s="509"/>
      <c r="C29" s="454"/>
      <c r="D29" s="456"/>
      <c r="E29" s="456"/>
      <c r="F29" s="456"/>
      <c r="G29" s="456"/>
      <c r="H29" s="456"/>
      <c r="I29" s="456"/>
      <c r="J29" s="456"/>
      <c r="K29" s="440">
        <f>C29+D29+E29+F29+G29+H29+I29+J29</f>
        <v>0</v>
      </c>
      <c r="L29" s="441">
        <f>D29+E29+F29+G29+H29+I29+J29</f>
        <v>0</v>
      </c>
    </row>
    <row r="30" spans="1:12" s="521" customFormat="1" ht="20.100000000000001" hidden="1" customHeight="1" x14ac:dyDescent="0.2">
      <c r="A30" s="446" t="s">
        <v>281</v>
      </c>
      <c r="B30" s="509"/>
      <c r="C30" s="454"/>
      <c r="D30" s="456"/>
      <c r="E30" s="456"/>
      <c r="F30" s="456"/>
      <c r="G30" s="456"/>
      <c r="H30" s="456"/>
      <c r="I30" s="456"/>
      <c r="J30" s="456"/>
      <c r="K30" s="440">
        <f>C30+D30+E30+F30+G30+H30+I30+J30</f>
        <v>0</v>
      </c>
      <c r="L30" s="441">
        <f>D30+E30+F30+G30+H30+I30+J30</f>
        <v>0</v>
      </c>
    </row>
    <row r="31" spans="1:12" s="521" customFormat="1" ht="20.100000000000001" hidden="1" customHeight="1" x14ac:dyDescent="0.2">
      <c r="A31" s="446" t="s">
        <v>282</v>
      </c>
      <c r="B31" s="509"/>
      <c r="C31" s="454"/>
      <c r="D31" s="456"/>
      <c r="E31" s="456"/>
      <c r="F31" s="456"/>
      <c r="G31" s="456"/>
      <c r="H31" s="456"/>
      <c r="I31" s="456"/>
      <c r="J31" s="456"/>
      <c r="K31" s="440">
        <f>C31+D31+E31+F31+G31+H31+I31+J31</f>
        <v>0</v>
      </c>
      <c r="L31" s="441">
        <f>D31+E31+F31+G31+H31+I31+J31</f>
        <v>0</v>
      </c>
    </row>
    <row r="32" spans="1:12" s="521" customFormat="1" ht="27.75" hidden="1" customHeight="1" x14ac:dyDescent="0.2">
      <c r="A32" s="446" t="s">
        <v>283</v>
      </c>
      <c r="B32" s="509"/>
      <c r="C32" s="454"/>
      <c r="D32" s="456"/>
      <c r="E32" s="456"/>
      <c r="F32" s="456"/>
      <c r="G32" s="456"/>
      <c r="H32" s="456"/>
      <c r="I32" s="456"/>
      <c r="J32" s="456"/>
      <c r="K32" s="440">
        <f>C32+D32+E32+F32+G32+H32+I32+J32</f>
        <v>0</v>
      </c>
      <c r="L32" s="441">
        <f>D32+E32+F32+G32+H32+I32+J32</f>
        <v>0</v>
      </c>
    </row>
    <row r="33" spans="1:12" s="521" customFormat="1" ht="20.100000000000001" hidden="1" customHeight="1" x14ac:dyDescent="0.2">
      <c r="A33" s="446" t="s">
        <v>284</v>
      </c>
      <c r="B33" s="509"/>
      <c r="C33" s="454"/>
      <c r="D33" s="456"/>
      <c r="E33" s="456"/>
      <c r="F33" s="456"/>
      <c r="G33" s="456"/>
      <c r="H33" s="456"/>
      <c r="I33" s="456"/>
      <c r="J33" s="456"/>
      <c r="K33" s="440">
        <f>C33+D33+E33+F33+G33+H33+I33+J33</f>
        <v>0</v>
      </c>
      <c r="L33" s="441">
        <f>D33+E33+F33+G33+H33+I33+J33</f>
        <v>0</v>
      </c>
    </row>
    <row r="34" spans="1:12" s="521" customFormat="1" ht="27.75" hidden="1" customHeight="1" x14ac:dyDescent="0.2">
      <c r="A34" s="446" t="s">
        <v>285</v>
      </c>
      <c r="B34" s="509"/>
      <c r="C34" s="454"/>
      <c r="D34" s="456"/>
      <c r="E34" s="456"/>
      <c r="F34" s="456"/>
      <c r="G34" s="456"/>
      <c r="H34" s="456"/>
      <c r="I34" s="456"/>
      <c r="J34" s="456"/>
      <c r="K34" s="440">
        <f>C34+D34+E34+F34+G34+H34+I34+J34</f>
        <v>0</v>
      </c>
      <c r="L34" s="441">
        <f>D34+E34+F34+G34+H34+I34+J34</f>
        <v>0</v>
      </c>
    </row>
    <row r="35" spans="1:12" s="521" customFormat="1" ht="27.75" hidden="1" customHeight="1" x14ac:dyDescent="0.2">
      <c r="A35" s="446" t="s">
        <v>286</v>
      </c>
      <c r="B35" s="509"/>
      <c r="C35" s="454"/>
      <c r="D35" s="456"/>
      <c r="E35" s="456"/>
      <c r="F35" s="456"/>
      <c r="G35" s="456"/>
      <c r="H35" s="456"/>
      <c r="I35" s="456"/>
      <c r="J35" s="456"/>
      <c r="K35" s="440">
        <f>C35+D35+E35+F35+G35+H35+I35+J35</f>
        <v>0</v>
      </c>
      <c r="L35" s="441">
        <f>D35+E35+F35+G35+H35+I35+J35</f>
        <v>0</v>
      </c>
    </row>
    <row r="36" spans="1:12" s="523" customFormat="1" ht="28.5" customHeight="1" x14ac:dyDescent="0.2">
      <c r="A36" s="449" t="s">
        <v>287</v>
      </c>
      <c r="B36" s="522"/>
      <c r="C36" s="450">
        <f>SUM(C37:C46)</f>
        <v>0</v>
      </c>
      <c r="D36" s="450"/>
      <c r="E36" s="450">
        <f t="shared" ref="E36:J36" si="3">SUM(E37:E46)</f>
        <v>863000</v>
      </c>
      <c r="F36" s="450">
        <f t="shared" si="3"/>
        <v>0</v>
      </c>
      <c r="G36" s="450">
        <f t="shared" si="3"/>
        <v>0</v>
      </c>
      <c r="H36" s="450">
        <f t="shared" si="3"/>
        <v>0</v>
      </c>
      <c r="I36" s="450">
        <f t="shared" si="3"/>
        <v>0</v>
      </c>
      <c r="J36" s="450">
        <f t="shared" si="3"/>
        <v>0</v>
      </c>
      <c r="K36" s="440">
        <f>C36+D36+E36+F36+G36+H36+I36+J36</f>
        <v>863000</v>
      </c>
      <c r="L36" s="441">
        <f>D36+E36+F36+G36+H36+I36+J36</f>
        <v>863000</v>
      </c>
    </row>
    <row r="37" spans="1:12" s="524" customFormat="1" ht="20.100000000000001" hidden="1" customHeight="1" x14ac:dyDescent="0.2">
      <c r="A37" s="446" t="s">
        <v>288</v>
      </c>
      <c r="B37" s="518"/>
      <c r="C37" s="454"/>
      <c r="D37" s="455"/>
      <c r="E37" s="455"/>
      <c r="F37" s="455"/>
      <c r="G37" s="455"/>
      <c r="H37" s="455"/>
      <c r="I37" s="455"/>
      <c r="J37" s="455"/>
      <c r="K37" s="440">
        <f>C37+D37+E37+F37+G37+H37+I37+J37</f>
        <v>0</v>
      </c>
      <c r="L37" s="441">
        <f>D37+E37+F37+G37+H37+I37+J37</f>
        <v>0</v>
      </c>
    </row>
    <row r="38" spans="1:12" s="510" customFormat="1" ht="20.100000000000001" hidden="1" customHeight="1" x14ac:dyDescent="0.2">
      <c r="A38" s="446" t="s">
        <v>289</v>
      </c>
      <c r="B38" s="509"/>
      <c r="C38" s="454"/>
      <c r="D38" s="456"/>
      <c r="E38" s="456"/>
      <c r="F38" s="456"/>
      <c r="G38" s="456"/>
      <c r="H38" s="456"/>
      <c r="I38" s="456">
        <v>0</v>
      </c>
      <c r="J38" s="456"/>
      <c r="K38" s="440">
        <f>C38+D38+E38+F38+G38+H38+I38+J38</f>
        <v>0</v>
      </c>
      <c r="L38" s="441">
        <f>D38+E38+F38+G38+H38+I38+J38</f>
        <v>0</v>
      </c>
    </row>
    <row r="39" spans="1:12" s="510" customFormat="1" ht="26.25" hidden="1" customHeight="1" x14ac:dyDescent="0.2">
      <c r="A39" s="446" t="s">
        <v>290</v>
      </c>
      <c r="B39" s="509"/>
      <c r="C39" s="454"/>
      <c r="D39" s="456"/>
      <c r="E39" s="456"/>
      <c r="F39" s="456"/>
      <c r="G39" s="456"/>
      <c r="H39" s="456"/>
      <c r="I39" s="456"/>
      <c r="J39" s="456"/>
      <c r="K39" s="440">
        <f>C39+D39+E39+F39+G39+H39+I39+J39</f>
        <v>0</v>
      </c>
      <c r="L39" s="441">
        <f>D39+E39+F39+G39+H39+I39+J39</f>
        <v>0</v>
      </c>
    </row>
    <row r="40" spans="1:12" s="510" customFormat="1" ht="20.100000000000001" hidden="1" customHeight="1" x14ac:dyDescent="0.2">
      <c r="A40" s="446" t="s">
        <v>291</v>
      </c>
      <c r="B40" s="509"/>
      <c r="C40" s="454"/>
      <c r="D40" s="447"/>
      <c r="E40" s="456"/>
      <c r="F40" s="456"/>
      <c r="G40" s="456"/>
      <c r="H40" s="456"/>
      <c r="I40" s="456"/>
      <c r="J40" s="456"/>
      <c r="K40" s="440">
        <f>C40+D40+E40+F40+G40+H40+I40+J40</f>
        <v>0</v>
      </c>
      <c r="L40" s="441">
        <f>D40+E40+F40+G40+H40+I40+J40</f>
        <v>0</v>
      </c>
    </row>
    <row r="41" spans="1:12" s="510" customFormat="1" ht="20.100000000000001" customHeight="1" x14ac:dyDescent="0.2">
      <c r="A41" s="446" t="s">
        <v>292</v>
      </c>
      <c r="B41" s="509"/>
      <c r="C41" s="454"/>
      <c r="D41" s="456"/>
      <c r="E41" s="456">
        <v>863000</v>
      </c>
      <c r="F41" s="456"/>
      <c r="G41" s="456"/>
      <c r="H41" s="456"/>
      <c r="I41" s="456"/>
      <c r="J41" s="456"/>
      <c r="K41" s="440">
        <f>C41+D41+E41+F41+G41+H41+I41+J41</f>
        <v>863000</v>
      </c>
      <c r="L41" s="441">
        <f>D41+E41+F41+G41+H41+I41+J41</f>
        <v>863000</v>
      </c>
    </row>
    <row r="42" spans="1:12" s="510" customFormat="1" ht="20.100000000000001" hidden="1" customHeight="1" x14ac:dyDescent="0.2">
      <c r="A42" s="446" t="s">
        <v>293</v>
      </c>
      <c r="B42" s="509"/>
      <c r="C42" s="454"/>
      <c r="D42" s="456"/>
      <c r="E42" s="456"/>
      <c r="F42" s="456"/>
      <c r="G42" s="456"/>
      <c r="H42" s="456"/>
      <c r="I42" s="456"/>
      <c r="J42" s="456"/>
      <c r="K42" s="440">
        <f>C42+D42+E42+F42+G42+H42+I42+J42</f>
        <v>0</v>
      </c>
      <c r="L42" s="441">
        <f>D42+E42+F42+G42+H42+I42+J42</f>
        <v>0</v>
      </c>
    </row>
    <row r="43" spans="1:12" s="524" customFormat="1" ht="24.75" hidden="1" customHeight="1" x14ac:dyDescent="0.2">
      <c r="A43" s="446" t="s">
        <v>294</v>
      </c>
      <c r="B43" s="518"/>
      <c r="C43" s="454"/>
      <c r="D43" s="455"/>
      <c r="E43" s="455"/>
      <c r="F43" s="455"/>
      <c r="G43" s="455"/>
      <c r="H43" s="455"/>
      <c r="I43" s="455"/>
      <c r="J43" s="455"/>
      <c r="K43" s="440">
        <f>C43+D43+E43+F43+G43+H43+I43+J43</f>
        <v>0</v>
      </c>
      <c r="L43" s="441">
        <f>D43+E43+F43+G43+H43+I43+J43</f>
        <v>0</v>
      </c>
    </row>
    <row r="44" spans="1:12" s="510" customFormat="1" ht="20.100000000000001" hidden="1" customHeight="1" x14ac:dyDescent="0.2">
      <c r="A44" s="446" t="s">
        <v>295</v>
      </c>
      <c r="B44" s="509"/>
      <c r="C44" s="454"/>
      <c r="D44" s="456"/>
      <c r="E44" s="456"/>
      <c r="F44" s="456"/>
      <c r="G44" s="456"/>
      <c r="H44" s="456"/>
      <c r="I44" s="456"/>
      <c r="J44" s="456"/>
      <c r="K44" s="440">
        <f>C44+D44+E44+F44+G44+H44+I44+J44</f>
        <v>0</v>
      </c>
      <c r="L44" s="441">
        <f>D44+E44+F44+G44+H44+I44+J44</f>
        <v>0</v>
      </c>
    </row>
    <row r="45" spans="1:12" s="510" customFormat="1" ht="26.25" hidden="1" customHeight="1" x14ac:dyDescent="0.2">
      <c r="A45" s="446" t="s">
        <v>296</v>
      </c>
      <c r="B45" s="509"/>
      <c r="C45" s="454"/>
      <c r="D45" s="456"/>
      <c r="E45" s="456"/>
      <c r="F45" s="456"/>
      <c r="G45" s="456"/>
      <c r="H45" s="456"/>
      <c r="I45" s="456"/>
      <c r="J45" s="456"/>
      <c r="K45" s="440">
        <f>C45+D45+E45+F45+G45+H45+I45+J45</f>
        <v>0</v>
      </c>
      <c r="L45" s="441">
        <f>D45+E45+F45+G45+H45+I45+J45</f>
        <v>0</v>
      </c>
    </row>
    <row r="46" spans="1:12" s="510" customFormat="1" ht="27.75" hidden="1" customHeight="1" x14ac:dyDescent="0.2">
      <c r="A46" s="446" t="s">
        <v>297</v>
      </c>
      <c r="B46" s="509"/>
      <c r="C46" s="454"/>
      <c r="D46" s="456"/>
      <c r="E46" s="456"/>
      <c r="F46" s="456"/>
      <c r="G46" s="456"/>
      <c r="H46" s="456"/>
      <c r="I46" s="456"/>
      <c r="J46" s="456"/>
      <c r="K46" s="440">
        <f>C46+D46+E46+F46+G46+H46+I46+J46</f>
        <v>0</v>
      </c>
      <c r="L46" s="441">
        <f>D46+E46+F46+G46+H46+I46+J46</f>
        <v>0</v>
      </c>
    </row>
    <row r="47" spans="1:12" s="528" customFormat="1" ht="48" customHeight="1" thickBot="1" x14ac:dyDescent="0.25">
      <c r="A47" s="525" t="s">
        <v>298</v>
      </c>
      <c r="B47" s="526" t="s">
        <v>10</v>
      </c>
      <c r="C47" s="527">
        <f t="shared" ref="C47" si="4">C11+C12+C13+C14+C25+C36</f>
        <v>1275338.8510000003</v>
      </c>
      <c r="D47" s="527">
        <f t="shared" ref="D47:J47" si="5">D11+D12+D13+D14+D25+D36</f>
        <v>0</v>
      </c>
      <c r="E47" s="527">
        <f t="shared" si="5"/>
        <v>863000</v>
      </c>
      <c r="F47" s="527">
        <f t="shared" si="5"/>
        <v>0</v>
      </c>
      <c r="G47" s="527">
        <f t="shared" si="5"/>
        <v>0</v>
      </c>
      <c r="H47" s="527">
        <f t="shared" si="5"/>
        <v>0</v>
      </c>
      <c r="I47" s="527">
        <f t="shared" si="5"/>
        <v>0</v>
      </c>
      <c r="J47" s="527">
        <f t="shared" si="5"/>
        <v>0</v>
      </c>
      <c r="K47" s="440">
        <f>C47+D47+E47+F47+G47+H47+I47+J47</f>
        <v>2138338.8510000003</v>
      </c>
      <c r="L47" s="441">
        <f>D47+E47+F47+G47+H47+I47+J47</f>
        <v>863000</v>
      </c>
    </row>
    <row r="48" spans="1:12" s="515" customFormat="1" ht="20.100000000000001" hidden="1" customHeight="1" x14ac:dyDescent="0.2">
      <c r="A48" s="457" t="s">
        <v>299</v>
      </c>
      <c r="B48" s="514"/>
      <c r="C48" s="458">
        <v>0</v>
      </c>
      <c r="D48" s="453"/>
      <c r="E48" s="453"/>
      <c r="F48" s="453"/>
      <c r="G48" s="453"/>
      <c r="H48" s="453"/>
      <c r="I48" s="453"/>
      <c r="J48" s="453"/>
      <c r="K48" s="440">
        <f>C48+D48+E48+F48+G48+H48+I48+J48</f>
        <v>0</v>
      </c>
      <c r="L48" s="441">
        <f>D48+E48+F48+G48+H48+I48+J48</f>
        <v>0</v>
      </c>
    </row>
    <row r="49" spans="1:12" s="515" customFormat="1" ht="43.5" hidden="1" customHeight="1" x14ac:dyDescent="0.2">
      <c r="A49" s="451" t="s">
        <v>300</v>
      </c>
      <c r="B49" s="514"/>
      <c r="C49" s="452"/>
      <c r="D49" s="453"/>
      <c r="E49" s="453"/>
      <c r="F49" s="453"/>
      <c r="G49" s="453"/>
      <c r="H49" s="453"/>
      <c r="I49" s="453"/>
      <c r="J49" s="453"/>
      <c r="K49" s="440">
        <f>C49+D49+E49+F49+G49+H49+I49+J49</f>
        <v>0</v>
      </c>
      <c r="L49" s="441">
        <f>D49+E49+F49+G49+H49+I49+J49</f>
        <v>0</v>
      </c>
    </row>
    <row r="50" spans="1:12" s="517" customFormat="1" ht="39" hidden="1" customHeight="1" x14ac:dyDescent="0.2">
      <c r="A50" s="449" t="s">
        <v>301</v>
      </c>
      <c r="B50" s="516"/>
      <c r="C50" s="450">
        <f>SUM(C51:C60)</f>
        <v>0</v>
      </c>
      <c r="D50" s="450">
        <f t="shared" ref="D50:J50" si="6">SUM(D51:D60)</f>
        <v>0</v>
      </c>
      <c r="E50" s="450">
        <f t="shared" si="6"/>
        <v>0</v>
      </c>
      <c r="F50" s="450">
        <f t="shared" si="6"/>
        <v>0</v>
      </c>
      <c r="G50" s="450">
        <f t="shared" si="6"/>
        <v>0</v>
      </c>
      <c r="H50" s="450">
        <f t="shared" si="6"/>
        <v>0</v>
      </c>
      <c r="I50" s="450">
        <f t="shared" si="6"/>
        <v>0</v>
      </c>
      <c r="J50" s="450">
        <f t="shared" si="6"/>
        <v>0</v>
      </c>
      <c r="K50" s="440">
        <f>C50+D50+E50+F50+G50+H50+I50+J50</f>
        <v>0</v>
      </c>
      <c r="L50" s="441">
        <f>D50+E50+F50+G50+H50+I50+J50</f>
        <v>0</v>
      </c>
    </row>
    <row r="51" spans="1:12" s="521" customFormat="1" ht="20.100000000000001" hidden="1" customHeight="1" x14ac:dyDescent="0.2">
      <c r="A51" s="446" t="s">
        <v>302</v>
      </c>
      <c r="B51" s="509"/>
      <c r="C51" s="454"/>
      <c r="D51" s="456"/>
      <c r="E51" s="456"/>
      <c r="F51" s="456"/>
      <c r="G51" s="456"/>
      <c r="H51" s="456"/>
      <c r="I51" s="456"/>
      <c r="J51" s="456"/>
      <c r="K51" s="440">
        <f>C51+D51+E51+F51+G51+H51+I51+J51</f>
        <v>0</v>
      </c>
      <c r="L51" s="441">
        <f>D51+E51+F51+G51+H51+I51+J51</f>
        <v>0</v>
      </c>
    </row>
    <row r="52" spans="1:12" s="521" customFormat="1" ht="20.100000000000001" hidden="1" customHeight="1" x14ac:dyDescent="0.2">
      <c r="A52" s="446" t="s">
        <v>303</v>
      </c>
      <c r="B52" s="509"/>
      <c r="C52" s="454"/>
      <c r="D52" s="456"/>
      <c r="E52" s="456"/>
      <c r="F52" s="456"/>
      <c r="G52" s="456"/>
      <c r="H52" s="456"/>
      <c r="I52" s="456"/>
      <c r="J52" s="456"/>
      <c r="K52" s="440">
        <f>C52+D52+E52+F52+G52+H52+I52+J52</f>
        <v>0</v>
      </c>
      <c r="L52" s="441">
        <f>D52+E52+F52+G52+H52+I52+J52</f>
        <v>0</v>
      </c>
    </row>
    <row r="53" spans="1:12" s="521" customFormat="1" ht="27.75" hidden="1" customHeight="1" x14ac:dyDescent="0.2">
      <c r="A53" s="446" t="s">
        <v>304</v>
      </c>
      <c r="B53" s="509"/>
      <c r="C53" s="454"/>
      <c r="D53" s="456"/>
      <c r="E53" s="456"/>
      <c r="F53" s="456"/>
      <c r="G53" s="456"/>
      <c r="H53" s="456"/>
      <c r="I53" s="456"/>
      <c r="J53" s="456"/>
      <c r="K53" s="440">
        <f>C53+D53+E53+F53+G53+H53+I53+J53</f>
        <v>0</v>
      </c>
      <c r="L53" s="441">
        <f>D53+E53+F53+G53+H53+I53+J53</f>
        <v>0</v>
      </c>
    </row>
    <row r="54" spans="1:12" s="521" customFormat="1" ht="20.100000000000001" hidden="1" customHeight="1" x14ac:dyDescent="0.2">
      <c r="A54" s="446" t="s">
        <v>305</v>
      </c>
      <c r="B54" s="509"/>
      <c r="C54" s="454"/>
      <c r="D54" s="456"/>
      <c r="E54" s="456"/>
      <c r="F54" s="456"/>
      <c r="G54" s="456"/>
      <c r="H54" s="456"/>
      <c r="I54" s="456"/>
      <c r="J54" s="456"/>
      <c r="K54" s="440">
        <f>C54+D54+E54+F54+G54+H54+I54+J54</f>
        <v>0</v>
      </c>
      <c r="L54" s="441">
        <f>D54+E54+F54+G54+H54+I54+J54</f>
        <v>0</v>
      </c>
    </row>
    <row r="55" spans="1:12" s="521" customFormat="1" ht="20.100000000000001" hidden="1" customHeight="1" x14ac:dyDescent="0.2">
      <c r="A55" s="446" t="s">
        <v>306</v>
      </c>
      <c r="B55" s="509"/>
      <c r="C55" s="454"/>
      <c r="D55" s="456"/>
      <c r="E55" s="456"/>
      <c r="F55" s="456"/>
      <c r="G55" s="456"/>
      <c r="H55" s="456"/>
      <c r="I55" s="456"/>
      <c r="J55" s="456"/>
      <c r="K55" s="440">
        <f>C55+D55+E55+F55+G55+H55+I55+J55</f>
        <v>0</v>
      </c>
      <c r="L55" s="441">
        <f>D55+E55+F55+G55+H55+I55+J55</f>
        <v>0</v>
      </c>
    </row>
    <row r="56" spans="1:12" s="521" customFormat="1" ht="20.100000000000001" hidden="1" customHeight="1" x14ac:dyDescent="0.2">
      <c r="A56" s="446" t="s">
        <v>307</v>
      </c>
      <c r="B56" s="509"/>
      <c r="C56" s="454"/>
      <c r="D56" s="456"/>
      <c r="E56" s="456"/>
      <c r="F56" s="456"/>
      <c r="G56" s="456"/>
      <c r="H56" s="456"/>
      <c r="I56" s="456"/>
      <c r="J56" s="456"/>
      <c r="K56" s="440">
        <f>C56+D56+E56+F56+G56+H56+I56+J56</f>
        <v>0</v>
      </c>
      <c r="L56" s="441">
        <f>D56+E56+F56+G56+H56+I56+J56</f>
        <v>0</v>
      </c>
    </row>
    <row r="57" spans="1:12" s="521" customFormat="1" ht="26.25" hidden="1" customHeight="1" x14ac:dyDescent="0.2">
      <c r="A57" s="446" t="s">
        <v>308</v>
      </c>
      <c r="B57" s="509"/>
      <c r="C57" s="454"/>
      <c r="D57" s="456"/>
      <c r="E57" s="456"/>
      <c r="F57" s="456"/>
      <c r="G57" s="456"/>
      <c r="H57" s="456"/>
      <c r="I57" s="456"/>
      <c r="J57" s="456"/>
      <c r="K57" s="440">
        <f>C57+D57+E57+F57+G57+H57+I57+J57</f>
        <v>0</v>
      </c>
      <c r="L57" s="441">
        <f>D57+E57+F57+G57+H57+I57+J57</f>
        <v>0</v>
      </c>
    </row>
    <row r="58" spans="1:12" s="521" customFormat="1" ht="20.100000000000001" hidden="1" customHeight="1" x14ac:dyDescent="0.2">
      <c r="A58" s="446" t="s">
        <v>309</v>
      </c>
      <c r="B58" s="509"/>
      <c r="C58" s="454"/>
      <c r="D58" s="456"/>
      <c r="E58" s="456"/>
      <c r="F58" s="456"/>
      <c r="G58" s="456"/>
      <c r="H58" s="456"/>
      <c r="I58" s="456"/>
      <c r="J58" s="456"/>
      <c r="K58" s="440">
        <f>C58+D58+E58+F58+G58+H58+I58+J58</f>
        <v>0</v>
      </c>
      <c r="L58" s="441">
        <f>D58+E58+F58+G58+H58+I58+J58</f>
        <v>0</v>
      </c>
    </row>
    <row r="59" spans="1:12" s="521" customFormat="1" ht="27" hidden="1" customHeight="1" x14ac:dyDescent="0.2">
      <c r="A59" s="446" t="s">
        <v>310</v>
      </c>
      <c r="B59" s="509"/>
      <c r="C59" s="454"/>
      <c r="D59" s="456"/>
      <c r="E59" s="456"/>
      <c r="F59" s="456"/>
      <c r="G59" s="456"/>
      <c r="H59" s="456"/>
      <c r="I59" s="456"/>
      <c r="J59" s="456"/>
      <c r="K59" s="440">
        <f>C59+D59+E59+F59+G59+H59+I59+J59</f>
        <v>0</v>
      </c>
      <c r="L59" s="441">
        <f>D59+E59+F59+G59+H59+I59+J59</f>
        <v>0</v>
      </c>
    </row>
    <row r="60" spans="1:12" s="521" customFormat="1" ht="28.5" hidden="1" customHeight="1" x14ac:dyDescent="0.2">
      <c r="A60" s="446" t="s">
        <v>311</v>
      </c>
      <c r="B60" s="509"/>
      <c r="C60" s="454"/>
      <c r="D60" s="456"/>
      <c r="E60" s="456"/>
      <c r="F60" s="456"/>
      <c r="G60" s="456"/>
      <c r="H60" s="456"/>
      <c r="I60" s="456"/>
      <c r="J60" s="456"/>
      <c r="K60" s="440">
        <f>C60+D60+E60+F60+G60+H60+I60+J60</f>
        <v>0</v>
      </c>
      <c r="L60" s="441">
        <f>D60+E60+F60+G60+H60+I60+J60</f>
        <v>0</v>
      </c>
    </row>
    <row r="61" spans="1:12" s="517" customFormat="1" ht="40.5" hidden="1" customHeight="1" x14ac:dyDescent="0.2">
      <c r="A61" s="449" t="s">
        <v>312</v>
      </c>
      <c r="B61" s="516"/>
      <c r="C61" s="459">
        <f>SUM(C62:C71)</f>
        <v>0</v>
      </c>
      <c r="D61" s="459">
        <f t="shared" ref="D61:J61" si="7">SUM(D62:D71)</f>
        <v>0</v>
      </c>
      <c r="E61" s="459">
        <f t="shared" si="7"/>
        <v>0</v>
      </c>
      <c r="F61" s="459">
        <f t="shared" si="7"/>
        <v>0</v>
      </c>
      <c r="G61" s="459">
        <f t="shared" si="7"/>
        <v>0</v>
      </c>
      <c r="H61" s="459">
        <f t="shared" si="7"/>
        <v>0</v>
      </c>
      <c r="I61" s="459">
        <f t="shared" si="7"/>
        <v>0</v>
      </c>
      <c r="J61" s="459">
        <f t="shared" si="7"/>
        <v>0</v>
      </c>
      <c r="K61" s="440">
        <f>C61+D61+E61+F61+G61+H61+I61+J61</f>
        <v>0</v>
      </c>
      <c r="L61" s="441">
        <f>D61+E61+F61+G61+H61+I61+J61</f>
        <v>0</v>
      </c>
    </row>
    <row r="62" spans="1:12" s="529" customFormat="1" ht="20.100000000000001" hidden="1" customHeight="1" x14ac:dyDescent="0.2">
      <c r="A62" s="446" t="s">
        <v>313</v>
      </c>
      <c r="B62" s="518"/>
      <c r="C62" s="454"/>
      <c r="D62" s="455"/>
      <c r="E62" s="455"/>
      <c r="F62" s="455"/>
      <c r="G62" s="455"/>
      <c r="H62" s="455"/>
      <c r="I62" s="455"/>
      <c r="J62" s="455"/>
      <c r="K62" s="440">
        <f>C62+D62+E62+F62+G62+H62+I62+J62</f>
        <v>0</v>
      </c>
      <c r="L62" s="441">
        <f>D62+E62+F62+G62+H62+I62+J62</f>
        <v>0</v>
      </c>
    </row>
    <row r="63" spans="1:12" s="521" customFormat="1" ht="20.100000000000001" hidden="1" customHeight="1" x14ac:dyDescent="0.2">
      <c r="A63" s="446" t="s">
        <v>314</v>
      </c>
      <c r="B63" s="509"/>
      <c r="C63" s="454"/>
      <c r="D63" s="456"/>
      <c r="E63" s="456"/>
      <c r="F63" s="456"/>
      <c r="G63" s="456"/>
      <c r="H63" s="456"/>
      <c r="I63" s="456"/>
      <c r="J63" s="456"/>
      <c r="K63" s="440">
        <f>C63+D63+E63+F63+G63+H63+I63+J63</f>
        <v>0</v>
      </c>
      <c r="L63" s="441">
        <f>D63+E63+F63+G63+H63+I63+J63</f>
        <v>0</v>
      </c>
    </row>
    <row r="64" spans="1:12" s="521" customFormat="1" ht="28.5" hidden="1" customHeight="1" x14ac:dyDescent="0.2">
      <c r="A64" s="446" t="s">
        <v>315</v>
      </c>
      <c r="B64" s="509"/>
      <c r="C64" s="454"/>
      <c r="D64" s="456"/>
      <c r="E64" s="456"/>
      <c r="F64" s="456"/>
      <c r="G64" s="456"/>
      <c r="H64" s="456"/>
      <c r="I64" s="456"/>
      <c r="J64" s="456"/>
      <c r="K64" s="440">
        <f>C64+D64+E64+F64+G64+H64+I64+J64</f>
        <v>0</v>
      </c>
      <c r="L64" s="441">
        <f>D64+E64+F64+G64+H64+I64+J64</f>
        <v>0</v>
      </c>
    </row>
    <row r="65" spans="1:12" s="521" customFormat="1" ht="20.100000000000001" hidden="1" customHeight="1" x14ac:dyDescent="0.2">
      <c r="A65" s="446" t="s">
        <v>316</v>
      </c>
      <c r="B65" s="509"/>
      <c r="C65" s="454"/>
      <c r="D65" s="456"/>
      <c r="E65" s="456"/>
      <c r="F65" s="456"/>
      <c r="G65" s="456"/>
      <c r="H65" s="456"/>
      <c r="I65" s="456"/>
      <c r="J65" s="456"/>
      <c r="K65" s="440">
        <f>C65+D65+E65+F65+G65+H65+I65+J65</f>
        <v>0</v>
      </c>
      <c r="L65" s="441">
        <f>D65+E65+F65+G65+H65+I65+J65</f>
        <v>0</v>
      </c>
    </row>
    <row r="66" spans="1:12" s="521" customFormat="1" ht="20.100000000000001" hidden="1" customHeight="1" x14ac:dyDescent="0.2">
      <c r="A66" s="446" t="s">
        <v>317</v>
      </c>
      <c r="B66" s="509"/>
      <c r="C66" s="454"/>
      <c r="D66" s="456"/>
      <c r="E66" s="456"/>
      <c r="F66" s="456"/>
      <c r="G66" s="456"/>
      <c r="H66" s="456"/>
      <c r="I66" s="456"/>
      <c r="J66" s="456"/>
      <c r="K66" s="440">
        <f>C66+D66+E66+F66+G66+H66+I66+J66</f>
        <v>0</v>
      </c>
      <c r="L66" s="441">
        <f>D66+E66+F66+G66+H66+I66+J66</f>
        <v>0</v>
      </c>
    </row>
    <row r="67" spans="1:12" s="521" customFormat="1" ht="20.100000000000001" hidden="1" customHeight="1" x14ac:dyDescent="0.2">
      <c r="A67" s="446" t="s">
        <v>318</v>
      </c>
      <c r="B67" s="509"/>
      <c r="C67" s="454"/>
      <c r="D67" s="456"/>
      <c r="E67" s="456"/>
      <c r="F67" s="456"/>
      <c r="G67" s="456"/>
      <c r="H67" s="456"/>
      <c r="I67" s="456"/>
      <c r="J67" s="456"/>
      <c r="K67" s="440">
        <f>C67+D67+E67+F67+G67+H67+I67+J67</f>
        <v>0</v>
      </c>
      <c r="L67" s="441">
        <f>D67+E67+F67+G67+H67+I67+J67</f>
        <v>0</v>
      </c>
    </row>
    <row r="68" spans="1:12" s="521" customFormat="1" ht="27" hidden="1" customHeight="1" x14ac:dyDescent="0.2">
      <c r="A68" s="446" t="s">
        <v>319</v>
      </c>
      <c r="B68" s="509"/>
      <c r="C68" s="454"/>
      <c r="D68" s="456"/>
      <c r="E68" s="456"/>
      <c r="F68" s="456"/>
      <c r="G68" s="456"/>
      <c r="H68" s="456"/>
      <c r="I68" s="456"/>
      <c r="J68" s="456"/>
      <c r="K68" s="440">
        <f>C68+D68+E68+F68+G68+H68+I68+J68</f>
        <v>0</v>
      </c>
      <c r="L68" s="441">
        <f>D68+E68+F68+G68+H68+I68+J68</f>
        <v>0</v>
      </c>
    </row>
    <row r="69" spans="1:12" s="521" customFormat="1" ht="20.100000000000001" hidden="1" customHeight="1" x14ac:dyDescent="0.2">
      <c r="A69" s="446" t="s">
        <v>320</v>
      </c>
      <c r="B69" s="509"/>
      <c r="C69" s="454"/>
      <c r="D69" s="456"/>
      <c r="E69" s="456"/>
      <c r="F69" s="456"/>
      <c r="G69" s="456"/>
      <c r="H69" s="456"/>
      <c r="I69" s="456"/>
      <c r="J69" s="456"/>
      <c r="K69" s="440">
        <f>C69+D69+E69+F69+G69+H69+I69+J69</f>
        <v>0</v>
      </c>
      <c r="L69" s="441">
        <f>D69+E69+F69+G69+H69+I69+J69</f>
        <v>0</v>
      </c>
    </row>
    <row r="70" spans="1:12" s="521" customFormat="1" ht="29.25" hidden="1" customHeight="1" x14ac:dyDescent="0.2">
      <c r="A70" s="446" t="s">
        <v>321</v>
      </c>
      <c r="B70" s="509"/>
      <c r="C70" s="454"/>
      <c r="D70" s="456"/>
      <c r="E70" s="456"/>
      <c r="F70" s="456"/>
      <c r="G70" s="456"/>
      <c r="H70" s="456"/>
      <c r="I70" s="456"/>
      <c r="J70" s="456"/>
      <c r="K70" s="440">
        <f>C70+D70+E70+F70+G70+H70+I70+J70</f>
        <v>0</v>
      </c>
      <c r="L70" s="441">
        <f>D70+E70+F70+G70+H70+I70+J70</f>
        <v>0</v>
      </c>
    </row>
    <row r="71" spans="1:12" s="521" customFormat="1" ht="31.5" hidden="1" customHeight="1" x14ac:dyDescent="0.2">
      <c r="A71" s="446" t="s">
        <v>322</v>
      </c>
      <c r="B71" s="509"/>
      <c r="C71" s="454"/>
      <c r="D71" s="456"/>
      <c r="E71" s="456"/>
      <c r="F71" s="456"/>
      <c r="G71" s="456"/>
      <c r="H71" s="456"/>
      <c r="I71" s="456"/>
      <c r="J71" s="456"/>
      <c r="K71" s="440">
        <f>C71+D71+E71+F71+G71+H71+I71+J71</f>
        <v>0</v>
      </c>
      <c r="L71" s="441">
        <f>D71+E71+F71+G71+H71+I71+J71</f>
        <v>0</v>
      </c>
    </row>
    <row r="72" spans="1:12" s="513" customFormat="1" ht="30.75" hidden="1" customHeight="1" x14ac:dyDescent="0.2">
      <c r="A72" s="449" t="s">
        <v>323</v>
      </c>
      <c r="B72" s="512"/>
      <c r="C72" s="450">
        <f>SUM(C73:C82)</f>
        <v>0</v>
      </c>
      <c r="D72" s="450">
        <f t="shared" ref="D72:J72" si="8">SUM(D73:D82)</f>
        <v>0</v>
      </c>
      <c r="E72" s="450">
        <f t="shared" si="8"/>
        <v>0</v>
      </c>
      <c r="F72" s="450">
        <f t="shared" si="8"/>
        <v>0</v>
      </c>
      <c r="G72" s="450">
        <f t="shared" si="8"/>
        <v>0</v>
      </c>
      <c r="H72" s="450">
        <f t="shared" si="8"/>
        <v>0</v>
      </c>
      <c r="I72" s="450">
        <f t="shared" si="8"/>
        <v>0</v>
      </c>
      <c r="J72" s="450">
        <f t="shared" si="8"/>
        <v>0</v>
      </c>
      <c r="K72" s="440">
        <f>C72+D72+E72+F72+G72+H72+I72+J72</f>
        <v>0</v>
      </c>
      <c r="L72" s="441">
        <f>D72+E72+F72+G72+H72+I72+J72</f>
        <v>0</v>
      </c>
    </row>
    <row r="73" spans="1:12" s="524" customFormat="1" ht="20.100000000000001" hidden="1" customHeight="1" x14ac:dyDescent="0.2">
      <c r="A73" s="446" t="s">
        <v>324</v>
      </c>
      <c r="B73" s="518"/>
      <c r="C73" s="454"/>
      <c r="D73" s="455"/>
      <c r="E73" s="455"/>
      <c r="F73" s="455"/>
      <c r="G73" s="455"/>
      <c r="H73" s="455"/>
      <c r="I73" s="455"/>
      <c r="J73" s="455"/>
      <c r="K73" s="440">
        <f>C73+D73+E73+F73+G73+H73+I73+J73</f>
        <v>0</v>
      </c>
      <c r="L73" s="441">
        <f>D73+E73+F73+G73+H73+I73+J73</f>
        <v>0</v>
      </c>
    </row>
    <row r="74" spans="1:12" s="510" customFormat="1" ht="20.100000000000001" hidden="1" customHeight="1" x14ac:dyDescent="0.2">
      <c r="A74" s="446" t="s">
        <v>325</v>
      </c>
      <c r="B74" s="509"/>
      <c r="C74" s="454"/>
      <c r="D74" s="456"/>
      <c r="E74" s="456"/>
      <c r="F74" s="456"/>
      <c r="G74" s="456"/>
      <c r="H74" s="456"/>
      <c r="I74" s="456"/>
      <c r="J74" s="456"/>
      <c r="K74" s="440">
        <f>C74+D74+E74+F74+G74+H74+I74+J74</f>
        <v>0</v>
      </c>
      <c r="L74" s="441">
        <f>D74+E74+F74+G74+H74+I74+J74</f>
        <v>0</v>
      </c>
    </row>
    <row r="75" spans="1:12" s="510" customFormat="1" ht="28.5" hidden="1" customHeight="1" x14ac:dyDescent="0.2">
      <c r="A75" s="446" t="s">
        <v>326</v>
      </c>
      <c r="B75" s="509"/>
      <c r="C75" s="454"/>
      <c r="D75" s="456"/>
      <c r="E75" s="456"/>
      <c r="F75" s="456"/>
      <c r="G75" s="456"/>
      <c r="H75" s="456"/>
      <c r="I75" s="456"/>
      <c r="J75" s="456"/>
      <c r="K75" s="440">
        <f>C75+D75+E75+F75+G75+H75+I75+J75</f>
        <v>0</v>
      </c>
      <c r="L75" s="441">
        <f>D75+E75+F75+G75+H75+I75+J75</f>
        <v>0</v>
      </c>
    </row>
    <row r="76" spans="1:12" s="510" customFormat="1" ht="20.100000000000001" hidden="1" customHeight="1" x14ac:dyDescent="0.2">
      <c r="A76" s="446" t="s">
        <v>327</v>
      </c>
      <c r="B76" s="509"/>
      <c r="C76" s="454">
        <v>0</v>
      </c>
      <c r="D76" s="456"/>
      <c r="E76" s="456"/>
      <c r="F76" s="456"/>
      <c r="G76" s="456"/>
      <c r="H76" s="456"/>
      <c r="I76" s="456"/>
      <c r="J76" s="456"/>
      <c r="K76" s="440">
        <f>C76+D76+E76+F76+G76+H76+I76+J76</f>
        <v>0</v>
      </c>
      <c r="L76" s="441">
        <f>D76+E76+F76+G76+H76+I76+J76</f>
        <v>0</v>
      </c>
    </row>
    <row r="77" spans="1:12" s="510" customFormat="1" ht="20.100000000000001" hidden="1" customHeight="1" x14ac:dyDescent="0.2">
      <c r="A77" s="446" t="s">
        <v>328</v>
      </c>
      <c r="B77" s="509"/>
      <c r="C77" s="454"/>
      <c r="D77" s="456"/>
      <c r="E77" s="456"/>
      <c r="F77" s="456"/>
      <c r="G77" s="456"/>
      <c r="H77" s="456"/>
      <c r="I77" s="456"/>
      <c r="J77" s="456"/>
      <c r="K77" s="440">
        <f>C77+D77+E77+F77+G77+H77+I77+J77</f>
        <v>0</v>
      </c>
      <c r="L77" s="441">
        <f>D77+E77+F77+G77+H77+I77+J77</f>
        <v>0</v>
      </c>
    </row>
    <row r="78" spans="1:12" s="510" customFormat="1" ht="20.100000000000001" hidden="1" customHeight="1" x14ac:dyDescent="0.2">
      <c r="A78" s="446" t="s">
        <v>329</v>
      </c>
      <c r="B78" s="509"/>
      <c r="C78" s="454"/>
      <c r="D78" s="456"/>
      <c r="E78" s="456"/>
      <c r="F78" s="456"/>
      <c r="G78" s="456"/>
      <c r="H78" s="456"/>
      <c r="I78" s="456"/>
      <c r="J78" s="456"/>
      <c r="K78" s="440">
        <f>C78+D78+E78+F78+G78+H78+I78+J78</f>
        <v>0</v>
      </c>
      <c r="L78" s="441">
        <f>D78+E78+F78+G78+H78+I78+J78</f>
        <v>0</v>
      </c>
    </row>
    <row r="79" spans="1:12" s="510" customFormat="1" ht="26.25" hidden="1" customHeight="1" x14ac:dyDescent="0.2">
      <c r="A79" s="446" t="s">
        <v>330</v>
      </c>
      <c r="B79" s="509"/>
      <c r="C79" s="454"/>
      <c r="D79" s="456"/>
      <c r="E79" s="456"/>
      <c r="F79" s="456"/>
      <c r="G79" s="456"/>
      <c r="H79" s="456"/>
      <c r="I79" s="456"/>
      <c r="J79" s="456"/>
      <c r="K79" s="440">
        <f>C79+D79+E79+F79+G79+H79+I79+J79</f>
        <v>0</v>
      </c>
      <c r="L79" s="441">
        <f>D79+E79+F79+G79+H79+I79+J79</f>
        <v>0</v>
      </c>
    </row>
    <row r="80" spans="1:12" s="510" customFormat="1" ht="20.100000000000001" hidden="1" customHeight="1" x14ac:dyDescent="0.2">
      <c r="A80" s="446" t="s">
        <v>331</v>
      </c>
      <c r="B80" s="509"/>
      <c r="C80" s="454"/>
      <c r="D80" s="456"/>
      <c r="E80" s="456"/>
      <c r="F80" s="456"/>
      <c r="G80" s="456"/>
      <c r="H80" s="456"/>
      <c r="I80" s="456"/>
      <c r="J80" s="456"/>
      <c r="K80" s="440">
        <f>C80+D80+E80+F80+G80+H80+I80+J80</f>
        <v>0</v>
      </c>
      <c r="L80" s="441">
        <f>D80+E80+F80+G80+H80+I80+J80</f>
        <v>0</v>
      </c>
    </row>
    <row r="81" spans="1:12" s="524" customFormat="1" ht="27" hidden="1" customHeight="1" x14ac:dyDescent="0.2">
      <c r="A81" s="446" t="s">
        <v>332</v>
      </c>
      <c r="B81" s="518"/>
      <c r="C81" s="454"/>
      <c r="D81" s="455"/>
      <c r="E81" s="455"/>
      <c r="F81" s="455"/>
      <c r="G81" s="455"/>
      <c r="H81" s="455"/>
      <c r="I81" s="455"/>
      <c r="J81" s="455"/>
      <c r="K81" s="440">
        <f>C81+D81+E81+F81+G81+H81+I81+J81</f>
        <v>0</v>
      </c>
      <c r="L81" s="441">
        <f>D81+E81+F81+G81+H81+I81+J81</f>
        <v>0</v>
      </c>
    </row>
    <row r="82" spans="1:12" s="531" customFormat="1" ht="30" hidden="1" customHeight="1" x14ac:dyDescent="0.2">
      <c r="A82" s="446" t="s">
        <v>333</v>
      </c>
      <c r="B82" s="530"/>
      <c r="C82" s="454"/>
      <c r="D82" s="460"/>
      <c r="E82" s="460"/>
      <c r="F82" s="460"/>
      <c r="G82" s="460"/>
      <c r="H82" s="460"/>
      <c r="I82" s="460"/>
      <c r="J82" s="460"/>
      <c r="K82" s="440">
        <f>C82+D82+E82+F82+G82+H82+I82+J82</f>
        <v>0</v>
      </c>
      <c r="L82" s="441">
        <f>D82+E82+F82+G82+H82+I82+J82</f>
        <v>0</v>
      </c>
    </row>
    <row r="83" spans="1:12" s="528" customFormat="1" ht="30.75" hidden="1" customHeight="1" thickBot="1" x14ac:dyDescent="0.25">
      <c r="A83" s="525" t="s">
        <v>334</v>
      </c>
      <c r="B83" s="526" t="s">
        <v>11</v>
      </c>
      <c r="C83" s="527">
        <f>C72+C61+C50+C49+C48</f>
        <v>0</v>
      </c>
      <c r="D83" s="527">
        <f t="shared" ref="D83:J83" si="9">D72+D61+D50+D49+D48</f>
        <v>0</v>
      </c>
      <c r="E83" s="527">
        <f t="shared" si="9"/>
        <v>0</v>
      </c>
      <c r="F83" s="527">
        <f t="shared" si="9"/>
        <v>0</v>
      </c>
      <c r="G83" s="527">
        <f t="shared" si="9"/>
        <v>0</v>
      </c>
      <c r="H83" s="527">
        <f t="shared" si="9"/>
        <v>0</v>
      </c>
      <c r="I83" s="527">
        <f t="shared" si="9"/>
        <v>0</v>
      </c>
      <c r="J83" s="527">
        <f t="shared" si="9"/>
        <v>0</v>
      </c>
      <c r="K83" s="440">
        <f>C83+D83+E83+F83+G83+H83+I83+J83</f>
        <v>0</v>
      </c>
      <c r="L83" s="441">
        <f>D83+E83+F83+G83+H83+I83+J83</f>
        <v>0</v>
      </c>
    </row>
    <row r="84" spans="1:12" s="532" customFormat="1" ht="20.100000000000001" hidden="1" customHeight="1" x14ac:dyDescent="0.2">
      <c r="A84" s="461" t="s">
        <v>335</v>
      </c>
      <c r="B84" s="512"/>
      <c r="C84" s="462">
        <f>SUM(C85:C86)</f>
        <v>0</v>
      </c>
      <c r="D84" s="462">
        <f t="shared" ref="D84:J84" si="10">SUM(D85:D86)</f>
        <v>0</v>
      </c>
      <c r="E84" s="462">
        <f t="shared" si="10"/>
        <v>0</v>
      </c>
      <c r="F84" s="462">
        <f t="shared" si="10"/>
        <v>0</v>
      </c>
      <c r="G84" s="462">
        <f t="shared" si="10"/>
        <v>0</v>
      </c>
      <c r="H84" s="462">
        <f t="shared" si="10"/>
        <v>0</v>
      </c>
      <c r="I84" s="462">
        <f t="shared" si="10"/>
        <v>0</v>
      </c>
      <c r="J84" s="462">
        <f t="shared" si="10"/>
        <v>0</v>
      </c>
      <c r="K84" s="440">
        <f>C84+D84+E84+F84+G84+H84+I84+J84</f>
        <v>0</v>
      </c>
      <c r="L84" s="441">
        <f>D84+E84+F84+G84+H84+I84+J84</f>
        <v>0</v>
      </c>
    </row>
    <row r="85" spans="1:12" s="510" customFormat="1" ht="20.100000000000001" hidden="1" customHeight="1" x14ac:dyDescent="0.2">
      <c r="A85" s="446" t="s">
        <v>336</v>
      </c>
      <c r="B85" s="509"/>
      <c r="C85" s="463"/>
      <c r="D85" s="464"/>
      <c r="E85" s="464"/>
      <c r="F85" s="464"/>
      <c r="G85" s="464"/>
      <c r="H85" s="464"/>
      <c r="I85" s="464"/>
      <c r="J85" s="464"/>
      <c r="K85" s="440">
        <f>C85+D85+E85+F85+G85+H85+I85+J85</f>
        <v>0</v>
      </c>
      <c r="L85" s="441">
        <f>D85+E85+F85+G85+H85+I85+J85</f>
        <v>0</v>
      </c>
    </row>
    <row r="86" spans="1:12" s="510" customFormat="1" ht="30.75" hidden="1" customHeight="1" x14ac:dyDescent="0.2">
      <c r="A86" s="446" t="s">
        <v>337</v>
      </c>
      <c r="B86" s="509"/>
      <c r="C86" s="463"/>
      <c r="D86" s="464"/>
      <c r="E86" s="464"/>
      <c r="F86" s="464"/>
      <c r="G86" s="464"/>
      <c r="H86" s="464"/>
      <c r="I86" s="464"/>
      <c r="J86" s="464"/>
      <c r="K86" s="440">
        <f>C86+D86+E86+F86+G86+H86+I86+J86</f>
        <v>0</v>
      </c>
      <c r="L86" s="441">
        <f>D86+E86+F86+G86+H86+I86+J86</f>
        <v>0</v>
      </c>
    </row>
    <row r="87" spans="1:12" s="533" customFormat="1" ht="20.100000000000001" hidden="1" customHeight="1" x14ac:dyDescent="0.2">
      <c r="A87" s="444" t="s">
        <v>338</v>
      </c>
      <c r="B87" s="516"/>
      <c r="C87" s="465">
        <f>SUM(C88:C94)</f>
        <v>0</v>
      </c>
      <c r="D87" s="465">
        <f t="shared" ref="D87:J87" si="11">SUM(D88:D94)</f>
        <v>0</v>
      </c>
      <c r="E87" s="465">
        <f t="shared" si="11"/>
        <v>0</v>
      </c>
      <c r="F87" s="465">
        <f t="shared" si="11"/>
        <v>0</v>
      </c>
      <c r="G87" s="465">
        <f t="shared" si="11"/>
        <v>0</v>
      </c>
      <c r="H87" s="465">
        <f t="shared" si="11"/>
        <v>0</v>
      </c>
      <c r="I87" s="465">
        <f t="shared" si="11"/>
        <v>0</v>
      </c>
      <c r="J87" s="465">
        <f t="shared" si="11"/>
        <v>0</v>
      </c>
      <c r="K87" s="440">
        <f>C87+D87+E87+F87+G87+H87+I87+J87</f>
        <v>0</v>
      </c>
      <c r="L87" s="441">
        <f>D87+E87+F87+G87+H87+I87+J87</f>
        <v>0</v>
      </c>
    </row>
    <row r="88" spans="1:12" s="510" customFormat="1" ht="20.100000000000001" hidden="1" customHeight="1" x14ac:dyDescent="0.2">
      <c r="A88" s="446" t="s">
        <v>339</v>
      </c>
      <c r="B88" s="509"/>
      <c r="C88" s="357"/>
      <c r="D88" s="464">
        <v>0</v>
      </c>
      <c r="E88" s="466"/>
      <c r="F88" s="464"/>
      <c r="G88" s="464"/>
      <c r="H88" s="464"/>
      <c r="I88" s="464"/>
      <c r="J88" s="464"/>
      <c r="K88" s="440">
        <f>C88+D88+E88+F88+G88+H88+I88+J88</f>
        <v>0</v>
      </c>
      <c r="L88" s="441">
        <f>D88+E88+F88+G88+H88+I88+J88</f>
        <v>0</v>
      </c>
    </row>
    <row r="89" spans="1:12" s="510" customFormat="1" ht="20.100000000000001" hidden="1" customHeight="1" x14ac:dyDescent="0.2">
      <c r="A89" s="446" t="s">
        <v>340</v>
      </c>
      <c r="B89" s="509"/>
      <c r="C89" s="463"/>
      <c r="D89" s="464"/>
      <c r="E89" s="464"/>
      <c r="F89" s="464"/>
      <c r="G89" s="464"/>
      <c r="H89" s="464"/>
      <c r="I89" s="464"/>
      <c r="J89" s="464"/>
      <c r="K89" s="440">
        <f>C89+D89+E89+F89+G89+H89+I89+J89</f>
        <v>0</v>
      </c>
      <c r="L89" s="441">
        <f>D89+E89+F89+G89+H89+I89+J89</f>
        <v>0</v>
      </c>
    </row>
    <row r="90" spans="1:12" s="510" customFormat="1" ht="20.100000000000001" hidden="1" customHeight="1" x14ac:dyDescent="0.2">
      <c r="A90" s="446" t="s">
        <v>341</v>
      </c>
      <c r="B90" s="509"/>
      <c r="C90" s="463"/>
      <c r="D90" s="464"/>
      <c r="E90" s="464"/>
      <c r="F90" s="464"/>
      <c r="G90" s="464"/>
      <c r="H90" s="464"/>
      <c r="I90" s="464"/>
      <c r="J90" s="464"/>
      <c r="K90" s="440">
        <f>C90+D90+E90+F90+G90+H90+I90+J90</f>
        <v>0</v>
      </c>
      <c r="L90" s="441">
        <f>D90+E90+F90+G90+H90+I90+J90</f>
        <v>0</v>
      </c>
    </row>
    <row r="91" spans="1:12" s="510" customFormat="1" ht="20.100000000000001" hidden="1" customHeight="1" x14ac:dyDescent="0.2">
      <c r="A91" s="446" t="s">
        <v>342</v>
      </c>
      <c r="B91" s="509"/>
      <c r="C91" s="463"/>
      <c r="D91" s="464"/>
      <c r="E91" s="464"/>
      <c r="F91" s="464"/>
      <c r="G91" s="464"/>
      <c r="H91" s="464"/>
      <c r="I91" s="464"/>
      <c r="J91" s="464"/>
      <c r="K91" s="440">
        <f>C91+D91+E91+F91+G91+H91+I91+J91</f>
        <v>0</v>
      </c>
      <c r="L91" s="441">
        <f>D91+E91+F91+G91+H91+I91+J91</f>
        <v>0</v>
      </c>
    </row>
    <row r="92" spans="1:12" s="510" customFormat="1" ht="20.100000000000001" hidden="1" customHeight="1" x14ac:dyDescent="0.2">
      <c r="A92" s="446" t="s">
        <v>343</v>
      </c>
      <c r="B92" s="509"/>
      <c r="C92" s="463"/>
      <c r="D92" s="464"/>
      <c r="E92" s="464"/>
      <c r="F92" s="464"/>
      <c r="G92" s="464"/>
      <c r="H92" s="464"/>
      <c r="I92" s="464"/>
      <c r="J92" s="464"/>
      <c r="K92" s="440">
        <f>C92+D92+E92+F92+G92+H92+I92+J92</f>
        <v>0</v>
      </c>
      <c r="L92" s="441">
        <f>D92+E92+F92+G92+H92+I92+J92</f>
        <v>0</v>
      </c>
    </row>
    <row r="93" spans="1:12" s="510" customFormat="1" ht="20.100000000000001" hidden="1" customHeight="1" x14ac:dyDescent="0.2">
      <c r="A93" s="446" t="s">
        <v>344</v>
      </c>
      <c r="B93" s="509"/>
      <c r="C93" s="463"/>
      <c r="D93" s="464"/>
      <c r="E93" s="464"/>
      <c r="F93" s="464"/>
      <c r="G93" s="464"/>
      <c r="H93" s="464"/>
      <c r="I93" s="464"/>
      <c r="J93" s="464"/>
      <c r="K93" s="440">
        <f>C93+D93+E93+F93+G93+H93+I93+J93</f>
        <v>0</v>
      </c>
      <c r="L93" s="441">
        <f>D93+E93+F93+G93+H93+I93+J93</f>
        <v>0</v>
      </c>
    </row>
    <row r="94" spans="1:12" s="510" customFormat="1" ht="20.100000000000001" hidden="1" customHeight="1" x14ac:dyDescent="0.2">
      <c r="A94" s="446" t="s">
        <v>345</v>
      </c>
      <c r="B94" s="509"/>
      <c r="C94" s="463"/>
      <c r="D94" s="464"/>
      <c r="E94" s="464"/>
      <c r="F94" s="464"/>
      <c r="G94" s="464"/>
      <c r="H94" s="464"/>
      <c r="I94" s="464"/>
      <c r="J94" s="464"/>
      <c r="K94" s="440">
        <f>C94+D94+E94+F94+G94+H94+I94+J94</f>
        <v>0</v>
      </c>
      <c r="L94" s="441">
        <f>D94+E94+F94+G94+H94+I94+J94</f>
        <v>0</v>
      </c>
    </row>
    <row r="95" spans="1:12" s="517" customFormat="1" ht="20.100000000000001" hidden="1" customHeight="1" x14ac:dyDescent="0.2">
      <c r="A95" s="449" t="s">
        <v>346</v>
      </c>
      <c r="B95" s="516"/>
      <c r="C95" s="467">
        <f>C84+C87</f>
        <v>0</v>
      </c>
      <c r="D95" s="467">
        <f t="shared" ref="D95:J95" si="12">D84+D87</f>
        <v>0</v>
      </c>
      <c r="E95" s="467">
        <f t="shared" si="12"/>
        <v>0</v>
      </c>
      <c r="F95" s="467">
        <f t="shared" si="12"/>
        <v>0</v>
      </c>
      <c r="G95" s="467">
        <f t="shared" si="12"/>
        <v>0</v>
      </c>
      <c r="H95" s="467">
        <f t="shared" si="12"/>
        <v>0</v>
      </c>
      <c r="I95" s="467">
        <f t="shared" si="12"/>
        <v>0</v>
      </c>
      <c r="J95" s="467">
        <f t="shared" si="12"/>
        <v>0</v>
      </c>
      <c r="K95" s="440">
        <f>C95+D95+E95+F95+G95+H95+I95+J95</f>
        <v>0</v>
      </c>
      <c r="L95" s="441">
        <f>D95+E95+F95+G95+H95+I95+J95</f>
        <v>0</v>
      </c>
    </row>
    <row r="96" spans="1:12" s="517" customFormat="1" ht="24.75" hidden="1" customHeight="1" x14ac:dyDescent="0.2">
      <c r="A96" s="449" t="s">
        <v>347</v>
      </c>
      <c r="B96" s="516"/>
      <c r="C96" s="467">
        <f>SUM(C97:C105)</f>
        <v>0</v>
      </c>
      <c r="D96" s="467">
        <f t="shared" ref="D96:J96" si="13">SUM(D97:D105)</f>
        <v>0</v>
      </c>
      <c r="E96" s="467">
        <f t="shared" si="13"/>
        <v>0</v>
      </c>
      <c r="F96" s="467">
        <f t="shared" si="13"/>
        <v>0</v>
      </c>
      <c r="G96" s="467">
        <f t="shared" si="13"/>
        <v>0</v>
      </c>
      <c r="H96" s="467">
        <f t="shared" si="13"/>
        <v>0</v>
      </c>
      <c r="I96" s="467">
        <f t="shared" si="13"/>
        <v>0</v>
      </c>
      <c r="J96" s="467">
        <f t="shared" si="13"/>
        <v>0</v>
      </c>
      <c r="K96" s="440">
        <f>C96+D96+E96+F96+G96+H96+I96+J96</f>
        <v>0</v>
      </c>
      <c r="L96" s="441">
        <f>D96+E96+F96+G96+H96+I96+J96</f>
        <v>0</v>
      </c>
    </row>
    <row r="97" spans="1:12" s="524" customFormat="1" ht="20.100000000000001" hidden="1" customHeight="1" x14ac:dyDescent="0.2">
      <c r="A97" s="446" t="s">
        <v>348</v>
      </c>
      <c r="B97" s="518"/>
      <c r="C97" s="468"/>
      <c r="D97" s="469"/>
      <c r="E97" s="469"/>
      <c r="F97" s="470"/>
      <c r="G97" s="470"/>
      <c r="H97" s="470"/>
      <c r="I97" s="470"/>
      <c r="J97" s="470"/>
      <c r="K97" s="440">
        <f>C97+D97+E97+F97+G97+H97+I97+J97</f>
        <v>0</v>
      </c>
      <c r="L97" s="441">
        <f>D97+E97+F97+G97+H97+I97+J97</f>
        <v>0</v>
      </c>
    </row>
    <row r="98" spans="1:12" s="510" customFormat="1" ht="20.100000000000001" hidden="1" customHeight="1" x14ac:dyDescent="0.2">
      <c r="A98" s="446" t="s">
        <v>349</v>
      </c>
      <c r="B98" s="509"/>
      <c r="C98" s="357"/>
      <c r="D98" s="466"/>
      <c r="E98" s="466"/>
      <c r="F98" s="464"/>
      <c r="G98" s="464"/>
      <c r="H98" s="464"/>
      <c r="I98" s="464"/>
      <c r="J98" s="464"/>
      <c r="K98" s="440">
        <f>C98+D98+E98+F98+G98+H98+I98+J98</f>
        <v>0</v>
      </c>
      <c r="L98" s="441">
        <f>D98+E98+F98+G98+H98+I98+J98</f>
        <v>0</v>
      </c>
    </row>
    <row r="99" spans="1:12" s="510" customFormat="1" ht="20.100000000000001" hidden="1" customHeight="1" x14ac:dyDescent="0.2">
      <c r="A99" s="446" t="s">
        <v>350</v>
      </c>
      <c r="B99" s="509"/>
      <c r="C99" s="463"/>
      <c r="D99" s="464"/>
      <c r="E99" s="464"/>
      <c r="F99" s="464"/>
      <c r="G99" s="464"/>
      <c r="H99" s="464"/>
      <c r="I99" s="464"/>
      <c r="J99" s="464"/>
      <c r="K99" s="440">
        <f>C99+D99+E99+F99+G99+H99+I99+J99</f>
        <v>0</v>
      </c>
      <c r="L99" s="441">
        <f>D99+E99+F99+G99+H99+I99+J99</f>
        <v>0</v>
      </c>
    </row>
    <row r="100" spans="1:12" s="510" customFormat="1" ht="27" hidden="1" customHeight="1" x14ac:dyDescent="0.2">
      <c r="A100" s="446" t="s">
        <v>351</v>
      </c>
      <c r="B100" s="509"/>
      <c r="C100" s="463"/>
      <c r="D100" s="464"/>
      <c r="E100" s="464"/>
      <c r="F100" s="464"/>
      <c r="G100" s="464"/>
      <c r="H100" s="464"/>
      <c r="I100" s="464"/>
      <c r="J100" s="464"/>
      <c r="K100" s="440">
        <f>C100+D100+E100+F100+G100+H100+I100+J100</f>
        <v>0</v>
      </c>
      <c r="L100" s="441">
        <f>D100+E100+F100+G100+H100+I100+J100</f>
        <v>0</v>
      </c>
    </row>
    <row r="101" spans="1:12" s="510" customFormat="1" ht="20.100000000000001" hidden="1" customHeight="1" x14ac:dyDescent="0.2">
      <c r="A101" s="446" t="s">
        <v>352</v>
      </c>
      <c r="B101" s="509"/>
      <c r="C101" s="463"/>
      <c r="D101" s="464"/>
      <c r="E101" s="464"/>
      <c r="F101" s="464"/>
      <c r="G101" s="464"/>
      <c r="H101" s="464"/>
      <c r="I101" s="464"/>
      <c r="J101" s="464"/>
      <c r="K101" s="440">
        <f>C101+D101+E101+F101+G101+H101+I101+J101</f>
        <v>0</v>
      </c>
      <c r="L101" s="441">
        <f>D101+E101+F101+G101+H101+I101+J101</f>
        <v>0</v>
      </c>
    </row>
    <row r="102" spans="1:12" s="510" customFormat="1" ht="20.100000000000001" hidden="1" customHeight="1" x14ac:dyDescent="0.2">
      <c r="A102" s="446" t="s">
        <v>353</v>
      </c>
      <c r="B102" s="509"/>
      <c r="C102" s="463"/>
      <c r="D102" s="464"/>
      <c r="E102" s="464"/>
      <c r="F102" s="464"/>
      <c r="G102" s="464"/>
      <c r="H102" s="464"/>
      <c r="I102" s="464"/>
      <c r="J102" s="464"/>
      <c r="K102" s="440">
        <f>C102+D102+E102+F102+G102+H102+I102+J102</f>
        <v>0</v>
      </c>
      <c r="L102" s="441">
        <f>D102+E102+F102+G102+H102+I102+J102</f>
        <v>0</v>
      </c>
    </row>
    <row r="103" spans="1:12" s="510" customFormat="1" ht="26.25" hidden="1" customHeight="1" x14ac:dyDescent="0.2">
      <c r="A103" s="446" t="s">
        <v>354</v>
      </c>
      <c r="B103" s="509"/>
      <c r="C103" s="463"/>
      <c r="D103" s="464"/>
      <c r="E103" s="464"/>
      <c r="F103" s="464"/>
      <c r="G103" s="464"/>
      <c r="H103" s="464"/>
      <c r="I103" s="464"/>
      <c r="J103" s="464"/>
      <c r="K103" s="440">
        <f>C103+D103+E103+F103+G103+H103+I103+J103</f>
        <v>0</v>
      </c>
      <c r="L103" s="441">
        <f>D103+E103+F103+G103+H103+I103+J103</f>
        <v>0</v>
      </c>
    </row>
    <row r="104" spans="1:12" s="510" customFormat="1" ht="20.100000000000001" hidden="1" customHeight="1" x14ac:dyDescent="0.2">
      <c r="A104" s="446" t="s">
        <v>355</v>
      </c>
      <c r="B104" s="509"/>
      <c r="C104" s="463"/>
      <c r="D104" s="464"/>
      <c r="E104" s="464"/>
      <c r="F104" s="464"/>
      <c r="G104" s="464"/>
      <c r="H104" s="464"/>
      <c r="I104" s="464"/>
      <c r="J104" s="464"/>
      <c r="K104" s="440">
        <f>C104+D104+E104+F104+G104+H104+I104+J104</f>
        <v>0</v>
      </c>
      <c r="L104" s="441">
        <f>D104+E104+F104+G104+H104+I104+J104</f>
        <v>0</v>
      </c>
    </row>
    <row r="105" spans="1:12" s="510" customFormat="1" ht="20.100000000000001" hidden="1" customHeight="1" x14ac:dyDescent="0.2">
      <c r="A105" s="446" t="s">
        <v>356</v>
      </c>
      <c r="B105" s="509"/>
      <c r="C105" s="463"/>
      <c r="D105" s="464"/>
      <c r="E105" s="464"/>
      <c r="F105" s="464"/>
      <c r="G105" s="464"/>
      <c r="H105" s="464"/>
      <c r="I105" s="464"/>
      <c r="J105" s="464"/>
      <c r="K105" s="440">
        <f>C105+D105+E105+F105+G105+H105+I105+J105</f>
        <v>0</v>
      </c>
      <c r="L105" s="441">
        <f>D105+E105+F105+G105+H105+I105+J105</f>
        <v>0</v>
      </c>
    </row>
    <row r="106" spans="1:12" s="517" customFormat="1" ht="27.75" hidden="1" customHeight="1" x14ac:dyDescent="0.2">
      <c r="A106" s="449" t="s">
        <v>357</v>
      </c>
      <c r="B106" s="516"/>
      <c r="C106" s="467">
        <f>SUM(C107:C110)</f>
        <v>0</v>
      </c>
      <c r="D106" s="467">
        <f t="shared" ref="D106:J106" si="14">SUM(D107:D110)</f>
        <v>0</v>
      </c>
      <c r="E106" s="467">
        <f t="shared" si="14"/>
        <v>0</v>
      </c>
      <c r="F106" s="467">
        <f t="shared" si="14"/>
        <v>0</v>
      </c>
      <c r="G106" s="467">
        <f t="shared" si="14"/>
        <v>0</v>
      </c>
      <c r="H106" s="467">
        <f t="shared" si="14"/>
        <v>0</v>
      </c>
      <c r="I106" s="467">
        <f t="shared" si="14"/>
        <v>0</v>
      </c>
      <c r="J106" s="467">
        <f t="shared" si="14"/>
        <v>0</v>
      </c>
      <c r="K106" s="440">
        <f>C106+D106+E106+F106+G106+H106+I106+J106</f>
        <v>0</v>
      </c>
      <c r="L106" s="441">
        <f>D106+E106+F106+G106+H106+I106+J106</f>
        <v>0</v>
      </c>
    </row>
    <row r="107" spans="1:12" s="524" customFormat="1" ht="20.100000000000001" hidden="1" customHeight="1" x14ac:dyDescent="0.2">
      <c r="A107" s="446" t="s">
        <v>358</v>
      </c>
      <c r="B107" s="518"/>
      <c r="C107" s="463"/>
      <c r="D107" s="464"/>
      <c r="E107" s="471"/>
      <c r="F107" s="470"/>
      <c r="G107" s="470"/>
      <c r="H107" s="470"/>
      <c r="I107" s="470"/>
      <c r="J107" s="470"/>
      <c r="K107" s="440">
        <f>C107+D107+E107+F107+G107+H107+I107+J107</f>
        <v>0</v>
      </c>
      <c r="L107" s="441">
        <f>D107+E107+F107+G107+H107+I107+J107</f>
        <v>0</v>
      </c>
    </row>
    <row r="108" spans="1:12" s="510" customFormat="1" ht="20.100000000000001" hidden="1" customHeight="1" x14ac:dyDescent="0.2">
      <c r="A108" s="446" t="s">
        <v>359</v>
      </c>
      <c r="B108" s="509"/>
      <c r="C108" s="357"/>
      <c r="D108" s="464"/>
      <c r="E108" s="471"/>
      <c r="F108" s="464"/>
      <c r="G108" s="464"/>
      <c r="H108" s="464"/>
      <c r="I108" s="464"/>
      <c r="J108" s="464"/>
      <c r="K108" s="440">
        <f>C108+D108+E108+F108+G108+H108+I108+J108</f>
        <v>0</v>
      </c>
      <c r="L108" s="441">
        <f>D108+E108+F108+G108+H108+I108+J108</f>
        <v>0</v>
      </c>
    </row>
    <row r="109" spans="1:12" s="510" customFormat="1" ht="20.100000000000001" hidden="1" customHeight="1" x14ac:dyDescent="0.2">
      <c r="A109" s="446" t="s">
        <v>360</v>
      </c>
      <c r="B109" s="509"/>
      <c r="C109" s="463"/>
      <c r="D109" s="472"/>
      <c r="E109" s="472"/>
      <c r="F109" s="464"/>
      <c r="G109" s="464"/>
      <c r="H109" s="464"/>
      <c r="I109" s="464"/>
      <c r="J109" s="464"/>
      <c r="K109" s="440">
        <f>C109+D109+E109+F109+G109+H109+I109+J109</f>
        <v>0</v>
      </c>
      <c r="L109" s="441">
        <f>D109+E109+F109+G109+H109+I109+J109</f>
        <v>0</v>
      </c>
    </row>
    <row r="110" spans="1:12" s="510" customFormat="1" ht="20.100000000000001" hidden="1" customHeight="1" x14ac:dyDescent="0.2">
      <c r="A110" s="446" t="s">
        <v>361</v>
      </c>
      <c r="B110" s="509"/>
      <c r="C110" s="463"/>
      <c r="D110" s="470"/>
      <c r="E110" s="473"/>
      <c r="F110" s="464"/>
      <c r="G110" s="464"/>
      <c r="H110" s="464"/>
      <c r="I110" s="464"/>
      <c r="J110" s="464"/>
      <c r="K110" s="440">
        <f>C110+D110+E110+F110+G110+H110+I110+J110</f>
        <v>0</v>
      </c>
      <c r="L110" s="441">
        <f>D110+E110+F110+G110+H110+I110+J110</f>
        <v>0</v>
      </c>
    </row>
    <row r="111" spans="1:12" s="517" customFormat="1" ht="20.100000000000001" customHeight="1" x14ac:dyDescent="0.2">
      <c r="A111" s="449" t="s">
        <v>362</v>
      </c>
      <c r="B111" s="516"/>
      <c r="C111" s="467">
        <f>SUM(C112:C117)</f>
        <v>740000</v>
      </c>
      <c r="D111" s="467">
        <f t="shared" ref="D111:J111" si="15">SUM(D112:D117)</f>
        <v>0</v>
      </c>
      <c r="E111" s="467">
        <f t="shared" si="15"/>
        <v>0</v>
      </c>
      <c r="F111" s="467">
        <f t="shared" si="15"/>
        <v>0</v>
      </c>
      <c r="G111" s="467">
        <f t="shared" si="15"/>
        <v>0</v>
      </c>
      <c r="H111" s="467">
        <f t="shared" si="15"/>
        <v>0</v>
      </c>
      <c r="I111" s="467">
        <f t="shared" si="15"/>
        <v>0</v>
      </c>
      <c r="J111" s="467">
        <f t="shared" si="15"/>
        <v>0</v>
      </c>
      <c r="K111" s="440">
        <f>C111+D111+E111+F111+G111+H111+I111+J111</f>
        <v>740000</v>
      </c>
      <c r="L111" s="441">
        <f>D111+E111+F111+G111+H111+I111+J111</f>
        <v>0</v>
      </c>
    </row>
    <row r="112" spans="1:12" s="529" customFormat="1" ht="20.100000000000001" customHeight="1" x14ac:dyDescent="0.2">
      <c r="A112" s="446" t="s">
        <v>363</v>
      </c>
      <c r="B112" s="518"/>
      <c r="C112" s="463">
        <v>700000</v>
      </c>
      <c r="D112" s="468"/>
      <c r="E112" s="468"/>
      <c r="F112" s="470"/>
      <c r="G112" s="470"/>
      <c r="H112" s="470"/>
      <c r="I112" s="470"/>
      <c r="J112" s="470"/>
      <c r="K112" s="440">
        <f>C112+D112+E112+F112+G112+H112+I112+J112</f>
        <v>700000</v>
      </c>
      <c r="L112" s="441">
        <f>D112+E112+F112+G112+H112+I112+J112</f>
        <v>0</v>
      </c>
    </row>
    <row r="113" spans="1:12" s="521" customFormat="1" ht="20.100000000000001" customHeight="1" x14ac:dyDescent="0.2">
      <c r="A113" s="446" t="s">
        <v>364</v>
      </c>
      <c r="B113" s="509"/>
      <c r="C113" s="357"/>
      <c r="D113" s="357"/>
      <c r="E113" s="357"/>
      <c r="F113" s="464"/>
      <c r="G113" s="464"/>
      <c r="H113" s="464"/>
      <c r="I113" s="464"/>
      <c r="J113" s="464"/>
      <c r="K113" s="440">
        <f>C113+D113+E113+F113+G113+H113+I113+J113</f>
        <v>0</v>
      </c>
      <c r="L113" s="441">
        <f>D113+E113+F113+G113+H113+I113+J113</f>
        <v>0</v>
      </c>
    </row>
    <row r="114" spans="1:12" s="521" customFormat="1" ht="20.100000000000001" customHeight="1" x14ac:dyDescent="0.2">
      <c r="A114" s="446" t="s">
        <v>365</v>
      </c>
      <c r="B114" s="509"/>
      <c r="C114" s="463">
        <v>40000</v>
      </c>
      <c r="D114" s="464"/>
      <c r="E114" s="464"/>
      <c r="F114" s="464"/>
      <c r="G114" s="464"/>
      <c r="H114" s="464"/>
      <c r="I114" s="464"/>
      <c r="J114" s="464"/>
      <c r="K114" s="440">
        <f>C114+D114+E114+F114+G114+H114+I114+J114</f>
        <v>40000</v>
      </c>
      <c r="L114" s="441">
        <f>D114+E114+F114+G114+H114+I114+J114</f>
        <v>0</v>
      </c>
    </row>
    <row r="115" spans="1:12" s="529" customFormat="1" ht="20.100000000000001" hidden="1" customHeight="1" x14ac:dyDescent="0.2">
      <c r="A115" s="446" t="s">
        <v>366</v>
      </c>
      <c r="B115" s="518"/>
      <c r="C115" s="463"/>
      <c r="D115" s="470"/>
      <c r="E115" s="470"/>
      <c r="F115" s="470"/>
      <c r="G115" s="470"/>
      <c r="H115" s="470"/>
      <c r="I115" s="470"/>
      <c r="J115" s="470"/>
      <c r="K115" s="440">
        <f>C115+D115+E115+F115+G115+H115+I115+J115</f>
        <v>0</v>
      </c>
      <c r="L115" s="441">
        <f>D115+E115+F115+G115+H115+I115+J115</f>
        <v>0</v>
      </c>
    </row>
    <row r="116" spans="1:12" s="521" customFormat="1" ht="20.100000000000001" hidden="1" customHeight="1" x14ac:dyDescent="0.2">
      <c r="A116" s="446" t="s">
        <v>367</v>
      </c>
      <c r="B116" s="509"/>
      <c r="C116" s="463"/>
      <c r="D116" s="464"/>
      <c r="E116" s="464"/>
      <c r="F116" s="464"/>
      <c r="G116" s="464"/>
      <c r="H116" s="464"/>
      <c r="I116" s="464"/>
      <c r="J116" s="464"/>
      <c r="K116" s="440">
        <f>C116+D116+E116+F116+G116+H116+I116+J116</f>
        <v>0</v>
      </c>
      <c r="L116" s="441">
        <f>D116+E116+F116+G116+H116+I116+J116</f>
        <v>0</v>
      </c>
    </row>
    <row r="117" spans="1:12" s="521" customFormat="1" ht="20.100000000000001" hidden="1" customHeight="1" x14ac:dyDescent="0.2">
      <c r="A117" s="446" t="s">
        <v>368</v>
      </c>
      <c r="B117" s="509"/>
      <c r="C117" s="357"/>
      <c r="D117" s="464"/>
      <c r="E117" s="464"/>
      <c r="F117" s="464"/>
      <c r="G117" s="464"/>
      <c r="H117" s="464"/>
      <c r="I117" s="464"/>
      <c r="J117" s="464"/>
      <c r="K117" s="440">
        <f>C117+D117+E117+F117+G117+H117+I117+J117</f>
        <v>0</v>
      </c>
      <c r="L117" s="441">
        <f>D117+E117+F117+G117+H117+I117+J117</f>
        <v>0</v>
      </c>
    </row>
    <row r="118" spans="1:12" s="534" customFormat="1" ht="20.100000000000001" customHeight="1" x14ac:dyDescent="0.2">
      <c r="A118" s="444" t="s">
        <v>369</v>
      </c>
      <c r="B118" s="522"/>
      <c r="C118" s="465">
        <f>SUM(C119:C138)</f>
        <v>1830936</v>
      </c>
      <c r="D118" s="465">
        <f t="shared" ref="D118:J118" si="16">SUM(D119:D138)</f>
        <v>0</v>
      </c>
      <c r="E118" s="465">
        <f t="shared" si="16"/>
        <v>0</v>
      </c>
      <c r="F118" s="465">
        <f t="shared" si="16"/>
        <v>0</v>
      </c>
      <c r="G118" s="465">
        <f t="shared" si="16"/>
        <v>0</v>
      </c>
      <c r="H118" s="465">
        <f t="shared" si="16"/>
        <v>0</v>
      </c>
      <c r="I118" s="465">
        <f t="shared" si="16"/>
        <v>0</v>
      </c>
      <c r="J118" s="465">
        <f t="shared" si="16"/>
        <v>0</v>
      </c>
      <c r="K118" s="440">
        <f>C118+D118+E118+F118+G118+H118+I118+J118</f>
        <v>1830936</v>
      </c>
      <c r="L118" s="441">
        <f>D118+E118+F118+G118+H118+I118+J118</f>
        <v>0</v>
      </c>
    </row>
    <row r="119" spans="1:12" s="529" customFormat="1" ht="20.100000000000001" hidden="1" customHeight="1" x14ac:dyDescent="0.2">
      <c r="A119" s="446" t="s">
        <v>370</v>
      </c>
      <c r="B119" s="518"/>
      <c r="C119" s="463"/>
      <c r="D119" s="470"/>
      <c r="E119" s="470"/>
      <c r="F119" s="470"/>
      <c r="G119" s="470"/>
      <c r="H119" s="470"/>
      <c r="I119" s="470"/>
      <c r="J119" s="470"/>
      <c r="K119" s="440">
        <f>C119+D119+E119+F119+G119+H119+I119+J119</f>
        <v>0</v>
      </c>
      <c r="L119" s="441">
        <f>D119+E119+F119+G119+H119+I119+J119</f>
        <v>0</v>
      </c>
    </row>
    <row r="120" spans="1:12" s="521" customFormat="1" ht="20.100000000000001" hidden="1" customHeight="1" x14ac:dyDescent="0.2">
      <c r="A120" s="446" t="s">
        <v>371</v>
      </c>
      <c r="B120" s="509"/>
      <c r="C120" s="463"/>
      <c r="D120" s="464"/>
      <c r="E120" s="464"/>
      <c r="F120" s="464"/>
      <c r="G120" s="464"/>
      <c r="H120" s="464"/>
      <c r="I120" s="464"/>
      <c r="J120" s="464"/>
      <c r="K120" s="440">
        <f>C120+D120+E120+F120+G120+H120+I120+J120</f>
        <v>0</v>
      </c>
      <c r="L120" s="441">
        <f>D120+E120+F120+G120+H120+I120+J120</f>
        <v>0</v>
      </c>
    </row>
    <row r="121" spans="1:12" s="521" customFormat="1" ht="20.100000000000001" hidden="1" customHeight="1" x14ac:dyDescent="0.2">
      <c r="A121" s="446" t="s">
        <v>372</v>
      </c>
      <c r="B121" s="509"/>
      <c r="C121" s="357"/>
      <c r="D121" s="357"/>
      <c r="E121" s="357"/>
      <c r="F121" s="464"/>
      <c r="G121" s="464"/>
      <c r="H121" s="464"/>
      <c r="I121" s="464"/>
      <c r="J121" s="464"/>
      <c r="K121" s="440">
        <f>C121+D121+E121+F121+G121+H121+I121+J121</f>
        <v>0</v>
      </c>
      <c r="L121" s="441">
        <f>D121+E121+F121+G121+H121+I121+J121</f>
        <v>0</v>
      </c>
    </row>
    <row r="122" spans="1:12" s="521" customFormat="1" ht="20.100000000000001" hidden="1" customHeight="1" x14ac:dyDescent="0.2">
      <c r="A122" s="446" t="s">
        <v>373</v>
      </c>
      <c r="B122" s="509"/>
      <c r="C122" s="463"/>
      <c r="D122" s="464"/>
      <c r="E122" s="464"/>
      <c r="F122" s="464"/>
      <c r="G122" s="464"/>
      <c r="H122" s="464"/>
      <c r="I122" s="464"/>
      <c r="J122" s="464"/>
      <c r="K122" s="440">
        <f>C122+D122+E122+F122+G122+H122+I122+J122</f>
        <v>0</v>
      </c>
      <c r="L122" s="441">
        <f>D122+E122+F122+G122+H122+I122+J122</f>
        <v>0</v>
      </c>
    </row>
    <row r="123" spans="1:12" s="521" customFormat="1" ht="26.25" hidden="1" customHeight="1" x14ac:dyDescent="0.2">
      <c r="A123" s="446" t="s">
        <v>374</v>
      </c>
      <c r="B123" s="509"/>
      <c r="C123" s="463"/>
      <c r="D123" s="464"/>
      <c r="E123" s="464"/>
      <c r="F123" s="464"/>
      <c r="G123" s="464"/>
      <c r="H123" s="464"/>
      <c r="I123" s="464"/>
      <c r="J123" s="464"/>
      <c r="K123" s="440">
        <f>C123+D123+E123+F123+G123+H123+I123+J123</f>
        <v>0</v>
      </c>
      <c r="L123" s="441">
        <f>D123+E123+F123+G123+H123+I123+J123</f>
        <v>0</v>
      </c>
    </row>
    <row r="124" spans="1:12" s="521" customFormat="1" ht="20.100000000000001" hidden="1" customHeight="1" x14ac:dyDescent="0.2">
      <c r="A124" s="446" t="s">
        <v>375</v>
      </c>
      <c r="B124" s="509"/>
      <c r="C124" s="463"/>
      <c r="D124" s="464"/>
      <c r="E124" s="464"/>
      <c r="F124" s="464"/>
      <c r="G124" s="464"/>
      <c r="H124" s="464"/>
      <c r="I124" s="464"/>
      <c r="J124" s="464"/>
      <c r="K124" s="440">
        <f>C124+D124+E124+F124+G124+H124+I124+J124</f>
        <v>0</v>
      </c>
      <c r="L124" s="441">
        <f>D124+E124+F124+G124+H124+I124+J124</f>
        <v>0</v>
      </c>
    </row>
    <row r="125" spans="1:12" s="521" customFormat="1" ht="27.75" customHeight="1" x14ac:dyDescent="0.2">
      <c r="A125" s="446" t="s">
        <v>376</v>
      </c>
      <c r="B125" s="509"/>
      <c r="C125" s="463">
        <v>1830936</v>
      </c>
      <c r="D125" s="464"/>
      <c r="E125" s="464"/>
      <c r="F125" s="464"/>
      <c r="G125" s="464"/>
      <c r="H125" s="464"/>
      <c r="I125" s="464"/>
      <c r="J125" s="464"/>
      <c r="K125" s="440">
        <f>C125+D125+E125+F125+G125+H125+I125+J125</f>
        <v>1830936</v>
      </c>
      <c r="L125" s="441">
        <f>D125+E125+F125+G125+H125+I125+J125</f>
        <v>0</v>
      </c>
    </row>
    <row r="126" spans="1:12" s="521" customFormat="1" ht="27.75" hidden="1" customHeight="1" x14ac:dyDescent="0.2">
      <c r="A126" s="446" t="s">
        <v>377</v>
      </c>
      <c r="B126" s="509"/>
      <c r="C126" s="463"/>
      <c r="D126" s="464"/>
      <c r="E126" s="464"/>
      <c r="F126" s="464"/>
      <c r="G126" s="464"/>
      <c r="H126" s="464"/>
      <c r="I126" s="464"/>
      <c r="J126" s="464"/>
      <c r="K126" s="440">
        <f>C126+D126+E126+F126+G126+H126+I126+J126</f>
        <v>0</v>
      </c>
      <c r="L126" s="441">
        <f>D126+E126+F126+G126+H126+I126+J126</f>
        <v>0</v>
      </c>
    </row>
    <row r="127" spans="1:12" s="521" customFormat="1" ht="20.100000000000001" hidden="1" customHeight="1" x14ac:dyDescent="0.2">
      <c r="A127" s="446" t="s">
        <v>378</v>
      </c>
      <c r="B127" s="509"/>
      <c r="C127" s="463"/>
      <c r="D127" s="464"/>
      <c r="E127" s="464"/>
      <c r="F127" s="464"/>
      <c r="G127" s="464"/>
      <c r="H127" s="464"/>
      <c r="I127" s="464"/>
      <c r="J127" s="464"/>
      <c r="K127" s="440">
        <f>C127+D127+E127+F127+G127+H127+I127+J127</f>
        <v>0</v>
      </c>
      <c r="L127" s="441">
        <f>D127+E127+F127+G127+H127+I127+J127</f>
        <v>0</v>
      </c>
    </row>
    <row r="128" spans="1:12" s="521" customFormat="1" ht="26.25" hidden="1" customHeight="1" x14ac:dyDescent="0.2">
      <c r="A128" s="446" t="s">
        <v>379</v>
      </c>
      <c r="B128" s="509"/>
      <c r="C128" s="357"/>
      <c r="D128" s="464"/>
      <c r="E128" s="464"/>
      <c r="F128" s="464"/>
      <c r="G128" s="464"/>
      <c r="H128" s="464"/>
      <c r="I128" s="464"/>
      <c r="J128" s="464"/>
      <c r="K128" s="440">
        <f>C128+D128+E128+F128+G128+H128+I128+J128</f>
        <v>0</v>
      </c>
      <c r="L128" s="441">
        <f>D128+E128+F128+G128+H128+I128+J128</f>
        <v>0</v>
      </c>
    </row>
    <row r="129" spans="1:12" s="521" customFormat="1" ht="31.5" hidden="1" customHeight="1" x14ac:dyDescent="0.2">
      <c r="A129" s="446" t="s">
        <v>380</v>
      </c>
      <c r="B129" s="509"/>
      <c r="C129" s="463"/>
      <c r="D129" s="464"/>
      <c r="E129" s="464"/>
      <c r="F129" s="464"/>
      <c r="G129" s="464"/>
      <c r="H129" s="464"/>
      <c r="I129" s="464"/>
      <c r="J129" s="464"/>
      <c r="K129" s="440">
        <f>C129+D129+E129+F129+G129+H129+I129+J129</f>
        <v>0</v>
      </c>
      <c r="L129" s="441">
        <f>D129+E129+F129+G129+H129+I129+J129</f>
        <v>0</v>
      </c>
    </row>
    <row r="130" spans="1:12" s="521" customFormat="1" ht="41.25" hidden="1" customHeight="1" x14ac:dyDescent="0.2">
      <c r="A130" s="446" t="s">
        <v>381</v>
      </c>
      <c r="B130" s="509"/>
      <c r="C130" s="463"/>
      <c r="D130" s="464"/>
      <c r="E130" s="464"/>
      <c r="F130" s="464"/>
      <c r="G130" s="464"/>
      <c r="H130" s="464"/>
      <c r="I130" s="464"/>
      <c r="J130" s="464"/>
      <c r="K130" s="440">
        <f>C130+D130+E130+F130+G130+H130+I130+J130</f>
        <v>0</v>
      </c>
      <c r="L130" s="441">
        <f>D130+E130+F130+G130+H130+I130+J130</f>
        <v>0</v>
      </c>
    </row>
    <row r="131" spans="1:12" s="521" customFormat="1" ht="40.5" hidden="1" customHeight="1" x14ac:dyDescent="0.2">
      <c r="A131" s="446" t="s">
        <v>382</v>
      </c>
      <c r="B131" s="509"/>
      <c r="C131" s="463"/>
      <c r="D131" s="464"/>
      <c r="E131" s="464"/>
      <c r="F131" s="464"/>
      <c r="G131" s="464"/>
      <c r="H131" s="464"/>
      <c r="I131" s="464"/>
      <c r="J131" s="464"/>
      <c r="K131" s="440">
        <f>C131+D131+E131+F131+G131+H131+I131+J131</f>
        <v>0</v>
      </c>
      <c r="L131" s="441">
        <f>D131+E131+F131+G131+H131+I131+J131</f>
        <v>0</v>
      </c>
    </row>
    <row r="132" spans="1:12" s="521" customFormat="1" ht="42" hidden="1" customHeight="1" x14ac:dyDescent="0.2">
      <c r="A132" s="446" t="s">
        <v>383</v>
      </c>
      <c r="B132" s="509"/>
      <c r="C132" s="463"/>
      <c r="D132" s="464"/>
      <c r="E132" s="464"/>
      <c r="F132" s="464"/>
      <c r="G132" s="464"/>
      <c r="H132" s="464"/>
      <c r="I132" s="464"/>
      <c r="J132" s="464"/>
      <c r="K132" s="440">
        <f>C132+D132+E132+F132+G132+H132+I132+J132</f>
        <v>0</v>
      </c>
      <c r="L132" s="441">
        <f>D132+E132+F132+G132+H132+I132+J132</f>
        <v>0</v>
      </c>
    </row>
    <row r="133" spans="1:12" s="521" customFormat="1" ht="20.100000000000001" hidden="1" customHeight="1" x14ac:dyDescent="0.2">
      <c r="A133" s="446" t="s">
        <v>384</v>
      </c>
      <c r="B133" s="509"/>
      <c r="C133" s="463"/>
      <c r="D133" s="464"/>
      <c r="E133" s="464"/>
      <c r="F133" s="464"/>
      <c r="G133" s="464"/>
      <c r="H133" s="464"/>
      <c r="I133" s="464"/>
      <c r="J133" s="464"/>
      <c r="K133" s="440">
        <f>C133+D133+E133+F133+G133+H133+I133+J133</f>
        <v>0</v>
      </c>
      <c r="L133" s="441">
        <f>D133+E133+F133+G133+H133+I133+J133</f>
        <v>0</v>
      </c>
    </row>
    <row r="134" spans="1:12" s="521" customFormat="1" ht="20.100000000000001" hidden="1" customHeight="1" x14ac:dyDescent="0.2">
      <c r="A134" s="446" t="s">
        <v>385</v>
      </c>
      <c r="B134" s="509"/>
      <c r="C134" s="463"/>
      <c r="D134" s="464"/>
      <c r="E134" s="464"/>
      <c r="F134" s="464"/>
      <c r="G134" s="464"/>
      <c r="H134" s="464"/>
      <c r="I134" s="464"/>
      <c r="J134" s="464"/>
      <c r="K134" s="440">
        <f>C134+D134+E134+F134+G134+H134+I134+J134</f>
        <v>0</v>
      </c>
      <c r="L134" s="441">
        <f>D134+E134+F134+G134+H134+I134+J134</f>
        <v>0</v>
      </c>
    </row>
    <row r="135" spans="1:12" s="521" customFormat="1" ht="20.100000000000001" hidden="1" customHeight="1" x14ac:dyDescent="0.2">
      <c r="A135" s="446" t="s">
        <v>386</v>
      </c>
      <c r="B135" s="509"/>
      <c r="C135" s="463"/>
      <c r="D135" s="464"/>
      <c r="E135" s="464"/>
      <c r="F135" s="464"/>
      <c r="G135" s="464"/>
      <c r="H135" s="464"/>
      <c r="I135" s="464"/>
      <c r="J135" s="464"/>
      <c r="K135" s="440">
        <f>C135+D135+E135+F135+G135+H135+I135+J135</f>
        <v>0</v>
      </c>
      <c r="L135" s="441">
        <f>D135+E135+F135+G135+H135+I135+J135</f>
        <v>0</v>
      </c>
    </row>
    <row r="136" spans="1:12" s="521" customFormat="1" ht="20.100000000000001" hidden="1" customHeight="1" x14ac:dyDescent="0.2">
      <c r="A136" s="446" t="s">
        <v>387</v>
      </c>
      <c r="B136" s="509"/>
      <c r="C136" s="463"/>
      <c r="D136" s="464"/>
      <c r="E136" s="464"/>
      <c r="F136" s="464"/>
      <c r="G136" s="464"/>
      <c r="H136" s="464"/>
      <c r="I136" s="464"/>
      <c r="J136" s="464"/>
      <c r="K136" s="440">
        <f>C136+D136+E136+F136+G136+H136+I136+J136</f>
        <v>0</v>
      </c>
      <c r="L136" s="441">
        <f>D136+E136+F136+G136+H136+I136+J136</f>
        <v>0</v>
      </c>
    </row>
    <row r="137" spans="1:12" s="521" customFormat="1" ht="20.100000000000001" hidden="1" customHeight="1" x14ac:dyDescent="0.2">
      <c r="A137" s="446" t="s">
        <v>388</v>
      </c>
      <c r="B137" s="509"/>
      <c r="C137" s="463"/>
      <c r="D137" s="464"/>
      <c r="E137" s="464"/>
      <c r="F137" s="464"/>
      <c r="G137" s="464"/>
      <c r="H137" s="464"/>
      <c r="I137" s="464"/>
      <c r="J137" s="464"/>
      <c r="K137" s="440">
        <f>C137+D137+E137+F137+G137+H137+I137+J137</f>
        <v>0</v>
      </c>
      <c r="L137" s="441">
        <f>D137+E137+F137+G137+H137+I137+J137</f>
        <v>0</v>
      </c>
    </row>
    <row r="138" spans="1:12" s="521" customFormat="1" ht="57" hidden="1" customHeight="1" x14ac:dyDescent="0.2">
      <c r="A138" s="446" t="s">
        <v>389</v>
      </c>
      <c r="B138" s="509"/>
      <c r="C138" s="463"/>
      <c r="D138" s="464"/>
      <c r="E138" s="464"/>
      <c r="F138" s="464"/>
      <c r="G138" s="464"/>
      <c r="H138" s="464"/>
      <c r="I138" s="464"/>
      <c r="J138" s="464"/>
      <c r="K138" s="440">
        <f>C138+D138+E138+F138+G138+H138+I138+J138</f>
        <v>0</v>
      </c>
      <c r="L138" s="441">
        <f>D138+E138+F138+G138+H138+I138+J138</f>
        <v>0</v>
      </c>
    </row>
    <row r="139" spans="1:12" s="533" customFormat="1" ht="20.100000000000001" hidden="1" customHeight="1" x14ac:dyDescent="0.2">
      <c r="A139" s="444" t="s">
        <v>390</v>
      </c>
      <c r="B139" s="516"/>
      <c r="C139" s="474">
        <f>SUM(C140:C142)</f>
        <v>0</v>
      </c>
      <c r="D139" s="474">
        <f t="shared" ref="D139:J139" si="17">SUM(D140:D142)</f>
        <v>0</v>
      </c>
      <c r="E139" s="474">
        <f t="shared" si="17"/>
        <v>0</v>
      </c>
      <c r="F139" s="474">
        <f t="shared" si="17"/>
        <v>0</v>
      </c>
      <c r="G139" s="474">
        <f t="shared" si="17"/>
        <v>0</v>
      </c>
      <c r="H139" s="474">
        <f t="shared" si="17"/>
        <v>0</v>
      </c>
      <c r="I139" s="474">
        <f t="shared" si="17"/>
        <v>0</v>
      </c>
      <c r="J139" s="474">
        <f t="shared" si="17"/>
        <v>0</v>
      </c>
      <c r="K139" s="440">
        <f>C139+D139+E139+F139+G139+H139+I139+J139</f>
        <v>0</v>
      </c>
      <c r="L139" s="441">
        <f>D139+E139+F139+G139+H139+I139+J139</f>
        <v>0</v>
      </c>
    </row>
    <row r="140" spans="1:12" s="524" customFormat="1" ht="20.100000000000001" hidden="1" customHeight="1" x14ac:dyDescent="0.2">
      <c r="A140" s="446" t="s">
        <v>391</v>
      </c>
      <c r="B140" s="518"/>
      <c r="C140" s="463"/>
      <c r="D140" s="470"/>
      <c r="E140" s="468"/>
      <c r="F140" s="468"/>
      <c r="G140" s="468"/>
      <c r="H140" s="468"/>
      <c r="I140" s="468"/>
      <c r="J140" s="468"/>
      <c r="K140" s="440">
        <f>C140+D140+E140+F140+G140+H140+I140+J140</f>
        <v>0</v>
      </c>
      <c r="L140" s="441">
        <f>D140+E140+F140+G140+H140+I140+J140</f>
        <v>0</v>
      </c>
    </row>
    <row r="141" spans="1:12" s="510" customFormat="1" ht="20.100000000000001" hidden="1" customHeight="1" x14ac:dyDescent="0.2">
      <c r="A141" s="446" t="s">
        <v>392</v>
      </c>
      <c r="B141" s="509"/>
      <c r="C141" s="463"/>
      <c r="D141" s="464"/>
      <c r="E141" s="357"/>
      <c r="F141" s="357"/>
      <c r="G141" s="357"/>
      <c r="H141" s="357"/>
      <c r="I141" s="357"/>
      <c r="J141" s="357"/>
      <c r="K141" s="440">
        <f>C141+D141+E141+F141+G141+H141+I141+J141</f>
        <v>0</v>
      </c>
      <c r="L141" s="441">
        <f>D141+E141+F141+G141+H141+I141+J141</f>
        <v>0</v>
      </c>
    </row>
    <row r="142" spans="1:12" s="510" customFormat="1" ht="20.100000000000001" hidden="1" customHeight="1" x14ac:dyDescent="0.2">
      <c r="A142" s="446" t="s">
        <v>393</v>
      </c>
      <c r="B142" s="509"/>
      <c r="C142" s="463"/>
      <c r="D142" s="470"/>
      <c r="E142" s="357"/>
      <c r="F142" s="357"/>
      <c r="G142" s="357"/>
      <c r="H142" s="357"/>
      <c r="I142" s="357"/>
      <c r="J142" s="357"/>
      <c r="K142" s="440">
        <f>C142+D142+E142+F142+G142+H142+I142+J142</f>
        <v>0</v>
      </c>
      <c r="L142" s="441">
        <f>D142+E142+F142+G142+H142+I142+J142</f>
        <v>0</v>
      </c>
    </row>
    <row r="143" spans="1:12" ht="20.100000000000001" hidden="1" customHeight="1" x14ac:dyDescent="0.2">
      <c r="A143" s="442" t="s">
        <v>394</v>
      </c>
      <c r="B143" s="505"/>
      <c r="C143" s="463">
        <v>0</v>
      </c>
      <c r="D143" s="464">
        <v>0</v>
      </c>
      <c r="E143" s="317">
        <v>0</v>
      </c>
      <c r="F143" s="317"/>
      <c r="G143" s="317"/>
      <c r="H143" s="317"/>
      <c r="I143" s="317"/>
      <c r="J143" s="317"/>
      <c r="K143" s="440">
        <f>C143+D143+E143+F143+G143+H143+I143+J143</f>
        <v>0</v>
      </c>
      <c r="L143" s="441">
        <f>D143+E143+F143+G143+H143+I143+J143</f>
        <v>0</v>
      </c>
    </row>
    <row r="144" spans="1:12" s="534" customFormat="1" ht="20.100000000000001" hidden="1" customHeight="1" x14ac:dyDescent="0.2">
      <c r="A144" s="444" t="s">
        <v>395</v>
      </c>
      <c r="B144" s="522"/>
      <c r="C144" s="474">
        <f>SUM(C145:C148)</f>
        <v>0</v>
      </c>
      <c r="D144" s="474">
        <f t="shared" ref="D144:J144" si="18">SUM(D145:D148)</f>
        <v>0</v>
      </c>
      <c r="E144" s="474">
        <f t="shared" si="18"/>
        <v>0</v>
      </c>
      <c r="F144" s="474">
        <f t="shared" si="18"/>
        <v>0</v>
      </c>
      <c r="G144" s="474">
        <f t="shared" si="18"/>
        <v>0</v>
      </c>
      <c r="H144" s="474">
        <f t="shared" si="18"/>
        <v>0</v>
      </c>
      <c r="I144" s="474">
        <f t="shared" si="18"/>
        <v>0</v>
      </c>
      <c r="J144" s="474">
        <f t="shared" si="18"/>
        <v>0</v>
      </c>
      <c r="K144" s="440">
        <f>C144+D144+E144+F144+G144+H144+I144+J144</f>
        <v>0</v>
      </c>
      <c r="L144" s="441">
        <f>D144+E144+F144+G144+H144+I144+J144</f>
        <v>0</v>
      </c>
    </row>
    <row r="145" spans="1:12" s="524" customFormat="1" ht="30" hidden="1" customHeight="1" x14ac:dyDescent="0.2">
      <c r="A145" s="446" t="s">
        <v>396</v>
      </c>
      <c r="B145" s="518"/>
      <c r="C145" s="468"/>
      <c r="D145" s="469"/>
      <c r="E145" s="470"/>
      <c r="F145" s="470"/>
      <c r="G145" s="470"/>
      <c r="H145" s="470"/>
      <c r="I145" s="470"/>
      <c r="J145" s="470"/>
      <c r="K145" s="440">
        <f>C145+D145+E145+F145+G145+H145+I145+J145</f>
        <v>0</v>
      </c>
      <c r="L145" s="441">
        <f>D145+E145+F145+G145+H145+I145+J145</f>
        <v>0</v>
      </c>
    </row>
    <row r="146" spans="1:12" s="510" customFormat="1" ht="33" hidden="1" customHeight="1" x14ac:dyDescent="0.2">
      <c r="A146" s="446" t="s">
        <v>397</v>
      </c>
      <c r="B146" s="509"/>
      <c r="C146" s="357"/>
      <c r="D146" s="464">
        <v>0</v>
      </c>
      <c r="E146" s="464"/>
      <c r="F146" s="464"/>
      <c r="G146" s="464"/>
      <c r="H146" s="464"/>
      <c r="I146" s="464"/>
      <c r="J146" s="464"/>
      <c r="K146" s="440">
        <f>C146+D146+E146+F146+G146+H146+I146+J146</f>
        <v>0</v>
      </c>
      <c r="L146" s="441">
        <f>D146+E146+F146+G146+H146+I146+J146</f>
        <v>0</v>
      </c>
    </row>
    <row r="147" spans="1:12" s="524" customFormat="1" ht="20.100000000000001" hidden="1" customHeight="1" x14ac:dyDescent="0.2">
      <c r="A147" s="446" t="s">
        <v>398</v>
      </c>
      <c r="B147" s="518"/>
      <c r="C147" s="468"/>
      <c r="D147" s="464"/>
      <c r="E147" s="470"/>
      <c r="F147" s="470"/>
      <c r="G147" s="470"/>
      <c r="H147" s="470"/>
      <c r="I147" s="470"/>
      <c r="J147" s="470"/>
      <c r="K147" s="440">
        <f>C147+D147+E147+F147+G147+H147+I147+J147</f>
        <v>0</v>
      </c>
      <c r="L147" s="441">
        <f>D147+E147+F147+G147+H147+I147+J147</f>
        <v>0</v>
      </c>
    </row>
    <row r="148" spans="1:12" s="510" customFormat="1" ht="20.100000000000001" hidden="1" customHeight="1" x14ac:dyDescent="0.2">
      <c r="A148" s="446" t="s">
        <v>399</v>
      </c>
      <c r="B148" s="509"/>
      <c r="C148" s="357"/>
      <c r="D148" s="464"/>
      <c r="E148" s="464"/>
      <c r="F148" s="464"/>
      <c r="G148" s="464"/>
      <c r="H148" s="464"/>
      <c r="I148" s="464"/>
      <c r="J148" s="464"/>
      <c r="K148" s="440">
        <f>C148+D148+E148+F148+G148+H148+I148+J148</f>
        <v>0</v>
      </c>
      <c r="L148" s="441">
        <f>D148+E148+F148+G148+H148+I148+J148</f>
        <v>0</v>
      </c>
    </row>
    <row r="149" spans="1:12" s="533" customFormat="1" ht="30" customHeight="1" x14ac:dyDescent="0.2">
      <c r="A149" s="444" t="s">
        <v>400</v>
      </c>
      <c r="B149" s="516"/>
      <c r="C149" s="465">
        <f>SUM(C150:C165)</f>
        <v>20000</v>
      </c>
      <c r="D149" s="465">
        <f t="shared" ref="D149:J149" si="19">SUM(D150:D165)</f>
        <v>0</v>
      </c>
      <c r="E149" s="465">
        <f t="shared" si="19"/>
        <v>0</v>
      </c>
      <c r="F149" s="465">
        <f t="shared" si="19"/>
        <v>0</v>
      </c>
      <c r="G149" s="465">
        <f t="shared" si="19"/>
        <v>0</v>
      </c>
      <c r="H149" s="465">
        <f t="shared" si="19"/>
        <v>0</v>
      </c>
      <c r="I149" s="465">
        <f t="shared" si="19"/>
        <v>0</v>
      </c>
      <c r="J149" s="465">
        <f t="shared" si="19"/>
        <v>0</v>
      </c>
      <c r="K149" s="440">
        <f>C149+D149+E149+F149+G149+H149+I149+J149</f>
        <v>20000</v>
      </c>
      <c r="L149" s="441">
        <f>D149+E149+F149+G149+H149+I149+J149</f>
        <v>0</v>
      </c>
    </row>
    <row r="150" spans="1:12" s="510" customFormat="1" ht="20.100000000000001" hidden="1" customHeight="1" x14ac:dyDescent="0.2">
      <c r="A150" s="446" t="s">
        <v>401</v>
      </c>
      <c r="B150" s="509"/>
      <c r="C150" s="463"/>
      <c r="D150" s="464"/>
      <c r="E150" s="464"/>
      <c r="F150" s="464"/>
      <c r="G150" s="464"/>
      <c r="H150" s="464"/>
      <c r="I150" s="464"/>
      <c r="J150" s="464"/>
      <c r="K150" s="440">
        <f>C150+D150+E150+F150+G150+H150+I150+J150</f>
        <v>0</v>
      </c>
      <c r="L150" s="441">
        <f>D150+E150+F150+G150+H150+I150+J150</f>
        <v>0</v>
      </c>
    </row>
    <row r="151" spans="1:12" s="510" customFormat="1" ht="29.25" hidden="1" customHeight="1" x14ac:dyDescent="0.2">
      <c r="A151" s="446" t="s">
        <v>402</v>
      </c>
      <c r="B151" s="509"/>
      <c r="C151" s="463"/>
      <c r="D151" s="466"/>
      <c r="E151" s="464"/>
      <c r="F151" s="464"/>
      <c r="G151" s="464"/>
      <c r="H151" s="464"/>
      <c r="I151" s="464"/>
      <c r="J151" s="464"/>
      <c r="K151" s="440">
        <f>C151+D151+E151+F151+G151+H151+I151+J151</f>
        <v>0</v>
      </c>
      <c r="L151" s="441">
        <f>D151+E151+F151+G151+H151+I151+J151</f>
        <v>0</v>
      </c>
    </row>
    <row r="152" spans="1:12" s="510" customFormat="1" ht="20.100000000000001" hidden="1" customHeight="1" x14ac:dyDescent="0.2">
      <c r="A152" s="446" t="s">
        <v>403</v>
      </c>
      <c r="B152" s="509"/>
      <c r="C152" s="463"/>
      <c r="D152" s="466"/>
      <c r="E152" s="464"/>
      <c r="F152" s="464"/>
      <c r="G152" s="464"/>
      <c r="H152" s="464"/>
      <c r="I152" s="464"/>
      <c r="J152" s="464"/>
      <c r="K152" s="440">
        <f>C152+D152+E152+F152+G152+H152+I152+J152</f>
        <v>0</v>
      </c>
      <c r="L152" s="441">
        <f>D152+E152+F152+G152+H152+I152+J152</f>
        <v>0</v>
      </c>
    </row>
    <row r="153" spans="1:12" s="510" customFormat="1" ht="20.100000000000001" hidden="1" customHeight="1" x14ac:dyDescent="0.2">
      <c r="A153" s="446" t="s">
        <v>404</v>
      </c>
      <c r="B153" s="509"/>
      <c r="C153" s="463"/>
      <c r="D153" s="466"/>
      <c r="E153" s="464"/>
      <c r="F153" s="464"/>
      <c r="G153" s="464"/>
      <c r="H153" s="464"/>
      <c r="I153" s="464"/>
      <c r="J153" s="464"/>
      <c r="K153" s="440">
        <f>C153+D153+E153+F153+G153+H153+I153+J153</f>
        <v>0</v>
      </c>
      <c r="L153" s="441">
        <f>D153+E153+F153+G153+H153+I153+J153</f>
        <v>0</v>
      </c>
    </row>
    <row r="154" spans="1:12" s="510" customFormat="1" ht="20.100000000000001" hidden="1" customHeight="1" x14ac:dyDescent="0.2">
      <c r="A154" s="446" t="s">
        <v>405</v>
      </c>
      <c r="B154" s="509"/>
      <c r="C154" s="357"/>
      <c r="D154" s="466"/>
      <c r="E154" s="464"/>
      <c r="F154" s="464"/>
      <c r="G154" s="464"/>
      <c r="H154" s="464"/>
      <c r="I154" s="464"/>
      <c r="J154" s="464"/>
      <c r="K154" s="440">
        <f>C154+D154+E154+F154+G154+H154+I154+J154</f>
        <v>0</v>
      </c>
      <c r="L154" s="441">
        <f>D154+E154+F154+G154+H154+I154+J154</f>
        <v>0</v>
      </c>
    </row>
    <row r="155" spans="1:12" s="510" customFormat="1" ht="20.100000000000001" hidden="1" customHeight="1" x14ac:dyDescent="0.2">
      <c r="A155" s="446" t="s">
        <v>406</v>
      </c>
      <c r="B155" s="509"/>
      <c r="C155" s="463"/>
      <c r="D155" s="464"/>
      <c r="E155" s="464"/>
      <c r="F155" s="464"/>
      <c r="G155" s="464"/>
      <c r="H155" s="464"/>
      <c r="I155" s="464"/>
      <c r="J155" s="464"/>
      <c r="K155" s="440">
        <f>C155+D155+E155+F155+G155+H155+I155+J155</f>
        <v>0</v>
      </c>
      <c r="L155" s="441">
        <f>D155+E155+F155+G155+H155+I155+J155</f>
        <v>0</v>
      </c>
    </row>
    <row r="156" spans="1:12" s="510" customFormat="1" ht="27" customHeight="1" x14ac:dyDescent="0.2">
      <c r="A156" s="446" t="s">
        <v>407</v>
      </c>
      <c r="B156" s="509"/>
      <c r="C156" s="463">
        <v>20000</v>
      </c>
      <c r="D156" s="464"/>
      <c r="E156" s="464"/>
      <c r="F156" s="464"/>
      <c r="G156" s="464"/>
      <c r="H156" s="464"/>
      <c r="I156" s="464"/>
      <c r="J156" s="464"/>
      <c r="K156" s="440">
        <f>C156+D156+E156+F156+G156+H156+I156+J156</f>
        <v>20000</v>
      </c>
      <c r="L156" s="441">
        <f>D156+E156+F156+G156+H156+I156+J156</f>
        <v>0</v>
      </c>
    </row>
    <row r="157" spans="1:12" s="524" customFormat="1" ht="20.100000000000001" hidden="1" customHeight="1" x14ac:dyDescent="0.2">
      <c r="A157" s="446" t="s">
        <v>408</v>
      </c>
      <c r="B157" s="518"/>
      <c r="C157" s="463"/>
      <c r="D157" s="470"/>
      <c r="E157" s="470"/>
      <c r="F157" s="470"/>
      <c r="G157" s="470"/>
      <c r="H157" s="470"/>
      <c r="I157" s="470"/>
      <c r="J157" s="470"/>
      <c r="K157" s="440">
        <f>C157+D157+E157+F157+G157+H157+I157+J157</f>
        <v>0</v>
      </c>
      <c r="L157" s="441">
        <f>D157+E157+F157+G157+H157+I157+J157</f>
        <v>0</v>
      </c>
    </row>
    <row r="158" spans="1:12" s="510" customFormat="1" ht="20.100000000000001" hidden="1" customHeight="1" x14ac:dyDescent="0.2">
      <c r="A158" s="446" t="s">
        <v>409</v>
      </c>
      <c r="B158" s="509"/>
      <c r="C158" s="463"/>
      <c r="D158" s="464"/>
      <c r="E158" s="464"/>
      <c r="F158" s="464"/>
      <c r="G158" s="464"/>
      <c r="H158" s="464"/>
      <c r="I158" s="464"/>
      <c r="J158" s="464"/>
      <c r="K158" s="440">
        <f>C158+D158+E158+F158+G158+H158+I158+J158</f>
        <v>0</v>
      </c>
      <c r="L158" s="441">
        <f>D158+E158+F158+G158+H158+I158+J158</f>
        <v>0</v>
      </c>
    </row>
    <row r="159" spans="1:12" s="510" customFormat="1" ht="20.100000000000001" hidden="1" customHeight="1" x14ac:dyDescent="0.2">
      <c r="A159" s="446" t="s">
        <v>410</v>
      </c>
      <c r="B159" s="509"/>
      <c r="C159" s="463"/>
      <c r="D159" s="464"/>
      <c r="E159" s="464"/>
      <c r="F159" s="464"/>
      <c r="G159" s="464"/>
      <c r="H159" s="464"/>
      <c r="I159" s="464"/>
      <c r="J159" s="464"/>
      <c r="K159" s="440">
        <f>C159+D159+E159+F159+G159+H159+I159+J159</f>
        <v>0</v>
      </c>
      <c r="L159" s="441">
        <f>D159+E159+F159+G159+H159+I159+J159</f>
        <v>0</v>
      </c>
    </row>
    <row r="160" spans="1:12" s="510" customFormat="1" ht="20.100000000000001" hidden="1" customHeight="1" x14ac:dyDescent="0.2">
      <c r="A160" s="446" t="s">
        <v>411</v>
      </c>
      <c r="B160" s="509"/>
      <c r="C160" s="463"/>
      <c r="D160" s="464"/>
      <c r="E160" s="464"/>
      <c r="F160" s="464"/>
      <c r="G160" s="464"/>
      <c r="H160" s="464"/>
      <c r="I160" s="464"/>
      <c r="J160" s="464"/>
      <c r="K160" s="440">
        <f>C160+D160+E160+F160+G160+H160+I160+J160</f>
        <v>0</v>
      </c>
      <c r="L160" s="441">
        <f>D160+E160+F160+G160+H160+I160+J160</f>
        <v>0</v>
      </c>
    </row>
    <row r="161" spans="1:12" s="510" customFormat="1" ht="20.100000000000001" hidden="1" customHeight="1" x14ac:dyDescent="0.2">
      <c r="A161" s="446" t="s">
        <v>412</v>
      </c>
      <c r="B161" s="509"/>
      <c r="C161" s="463"/>
      <c r="D161" s="464"/>
      <c r="E161" s="464"/>
      <c r="F161" s="464"/>
      <c r="G161" s="464"/>
      <c r="H161" s="464"/>
      <c r="I161" s="464"/>
      <c r="J161" s="464"/>
      <c r="K161" s="440">
        <f>C161+D161+E161+F161+G161+H161+I161+J161</f>
        <v>0</v>
      </c>
      <c r="L161" s="441">
        <f>D161+E161+F161+G161+H161+I161+J161</f>
        <v>0</v>
      </c>
    </row>
    <row r="162" spans="1:12" s="510" customFormat="1" ht="28.5" hidden="1" customHeight="1" x14ac:dyDescent="0.2">
      <c r="A162" s="446" t="s">
        <v>413</v>
      </c>
      <c r="B162" s="509"/>
      <c r="C162" s="357"/>
      <c r="D162" s="464"/>
      <c r="E162" s="464"/>
      <c r="F162" s="464"/>
      <c r="G162" s="464"/>
      <c r="H162" s="464"/>
      <c r="I162" s="464"/>
      <c r="J162" s="464"/>
      <c r="K162" s="440">
        <f>C162+D162+E162+F162+G162+H162+I162+J162</f>
        <v>0</v>
      </c>
      <c r="L162" s="441">
        <f>D162+E162+F162+G162+H162+I162+J162</f>
        <v>0</v>
      </c>
    </row>
    <row r="163" spans="1:12" s="510" customFormat="1" ht="20.100000000000001" hidden="1" customHeight="1" x14ac:dyDescent="0.2">
      <c r="A163" s="446" t="s">
        <v>414</v>
      </c>
      <c r="B163" s="509"/>
      <c r="C163" s="357"/>
      <c r="D163" s="464"/>
      <c r="E163" s="464"/>
      <c r="F163" s="464"/>
      <c r="G163" s="464"/>
      <c r="H163" s="464"/>
      <c r="I163" s="464"/>
      <c r="J163" s="464"/>
      <c r="K163" s="440">
        <f>C163+D163+E163+F163+G163+H163+I163+J163</f>
        <v>0</v>
      </c>
      <c r="L163" s="441">
        <f>D163+E163+F163+G163+H163+I163+J163</f>
        <v>0</v>
      </c>
    </row>
    <row r="164" spans="1:12" s="510" customFormat="1" ht="54" hidden="1" customHeight="1" x14ac:dyDescent="0.2">
      <c r="A164" s="446" t="s">
        <v>415</v>
      </c>
      <c r="B164" s="509"/>
      <c r="C164" s="463"/>
      <c r="D164" s="464"/>
      <c r="E164" s="464"/>
      <c r="F164" s="464"/>
      <c r="G164" s="464"/>
      <c r="H164" s="464"/>
      <c r="I164" s="464"/>
      <c r="J164" s="464"/>
      <c r="K164" s="440">
        <f>C164+D164+E164+F164+G164+H164+I164+J164</f>
        <v>0</v>
      </c>
      <c r="L164" s="441">
        <f>D164+E164+F164+G164+H164+I164+J164</f>
        <v>0</v>
      </c>
    </row>
    <row r="165" spans="1:12" s="510" customFormat="1" ht="30.75" hidden="1" customHeight="1" x14ac:dyDescent="0.2">
      <c r="A165" s="446" t="s">
        <v>416</v>
      </c>
      <c r="B165" s="509"/>
      <c r="C165" s="463"/>
      <c r="D165" s="464"/>
      <c r="E165" s="464"/>
      <c r="F165" s="464"/>
      <c r="G165" s="464"/>
      <c r="H165" s="464"/>
      <c r="I165" s="464"/>
      <c r="J165" s="464"/>
      <c r="K165" s="440">
        <f>C165+D165+E165+F165+G165+H165+I165+J165</f>
        <v>0</v>
      </c>
      <c r="L165" s="441">
        <f>D165+E165+F165+G165+H165+I165+J165</f>
        <v>0</v>
      </c>
    </row>
    <row r="166" spans="1:12" s="517" customFormat="1" ht="30" customHeight="1" x14ac:dyDescent="0.2">
      <c r="A166" s="449" t="s">
        <v>417</v>
      </c>
      <c r="B166" s="516"/>
      <c r="C166" s="467">
        <f>C149+C144+C139+C143+C118</f>
        <v>1850936</v>
      </c>
      <c r="D166" s="467">
        <f t="shared" ref="D166:J166" si="20">D149+D144+D139+D143+D118</f>
        <v>0</v>
      </c>
      <c r="E166" s="467">
        <f t="shared" si="20"/>
        <v>0</v>
      </c>
      <c r="F166" s="467">
        <f t="shared" si="20"/>
        <v>0</v>
      </c>
      <c r="G166" s="467">
        <f t="shared" si="20"/>
        <v>0</v>
      </c>
      <c r="H166" s="467">
        <f t="shared" si="20"/>
        <v>0</v>
      </c>
      <c r="I166" s="467">
        <f t="shared" si="20"/>
        <v>0</v>
      </c>
      <c r="J166" s="467">
        <f t="shared" si="20"/>
        <v>0</v>
      </c>
      <c r="K166" s="440">
        <f>C166+D166+E166+F166+G166+H166+I166+J166</f>
        <v>1850936</v>
      </c>
      <c r="L166" s="441">
        <f>D166+E166+F166+G166+H166+I166+J166</f>
        <v>0</v>
      </c>
    </row>
    <row r="167" spans="1:12" s="517" customFormat="1" ht="20.100000000000001" customHeight="1" x14ac:dyDescent="0.2">
      <c r="A167" s="449" t="s">
        <v>418</v>
      </c>
      <c r="B167" s="516"/>
      <c r="C167" s="467">
        <f>SUM(C168:C185)</f>
        <v>47000</v>
      </c>
      <c r="D167" s="467">
        <f t="shared" ref="D167:J167" si="21">SUM(D168:D185)</f>
        <v>0</v>
      </c>
      <c r="E167" s="467">
        <f t="shared" si="21"/>
        <v>0</v>
      </c>
      <c r="F167" s="467">
        <f t="shared" si="21"/>
        <v>0</v>
      </c>
      <c r="G167" s="467">
        <f t="shared" si="21"/>
        <v>0</v>
      </c>
      <c r="H167" s="467">
        <f t="shared" si="21"/>
        <v>0</v>
      </c>
      <c r="I167" s="467">
        <f t="shared" si="21"/>
        <v>0</v>
      </c>
      <c r="J167" s="467">
        <f t="shared" si="21"/>
        <v>0</v>
      </c>
      <c r="K167" s="440">
        <f>C167+D167+E167+F167+G167+H167+I167+J167</f>
        <v>47000</v>
      </c>
      <c r="L167" s="441">
        <f>D167+E167+F167+G167+H167+I167+J167</f>
        <v>0</v>
      </c>
    </row>
    <row r="168" spans="1:12" s="524" customFormat="1" ht="20.100000000000001" hidden="1" customHeight="1" x14ac:dyDescent="0.2">
      <c r="A168" s="446" t="s">
        <v>419</v>
      </c>
      <c r="B168" s="518"/>
      <c r="C168" s="468"/>
      <c r="D168" s="470"/>
      <c r="E168" s="470"/>
      <c r="F168" s="470"/>
      <c r="G168" s="470"/>
      <c r="H168" s="470"/>
      <c r="I168" s="470"/>
      <c r="J168" s="470"/>
      <c r="K168" s="440">
        <f>C168+D168+E168+F168+G168+H168+I168+J168</f>
        <v>0</v>
      </c>
      <c r="L168" s="441">
        <f>D168+E168+F168+G168+H168+I168+J168</f>
        <v>0</v>
      </c>
    </row>
    <row r="169" spans="1:12" s="510" customFormat="1" ht="20.100000000000001" hidden="1" customHeight="1" x14ac:dyDescent="0.2">
      <c r="A169" s="446" t="s">
        <v>420</v>
      </c>
      <c r="B169" s="509"/>
      <c r="C169" s="463"/>
      <c r="D169" s="464"/>
      <c r="E169" s="464"/>
      <c r="F169" s="464"/>
      <c r="G169" s="464"/>
      <c r="H169" s="464"/>
      <c r="I169" s="464"/>
      <c r="J169" s="464"/>
      <c r="K169" s="440">
        <f>C169+D169+E169+F169+G169+H169+I169+J169</f>
        <v>0</v>
      </c>
      <c r="L169" s="441">
        <f>D169+E169+F169+G169+H169+I169+J169</f>
        <v>0</v>
      </c>
    </row>
    <row r="170" spans="1:12" s="510" customFormat="1" ht="20.100000000000001" hidden="1" customHeight="1" x14ac:dyDescent="0.2">
      <c r="A170" s="446" t="s">
        <v>421</v>
      </c>
      <c r="B170" s="509"/>
      <c r="C170" s="463"/>
      <c r="D170" s="464"/>
      <c r="E170" s="464"/>
      <c r="F170" s="464"/>
      <c r="G170" s="464"/>
      <c r="H170" s="464"/>
      <c r="I170" s="464"/>
      <c r="J170" s="464"/>
      <c r="K170" s="440">
        <f>C170+D170+E170+F170+G170+H170+I170+J170</f>
        <v>0</v>
      </c>
      <c r="L170" s="441">
        <f>D170+E170+F170+G170+H170+I170+J170</f>
        <v>0</v>
      </c>
    </row>
    <row r="171" spans="1:12" s="510" customFormat="1" ht="20.100000000000001" hidden="1" customHeight="1" x14ac:dyDescent="0.2">
      <c r="A171" s="446" t="s">
        <v>422</v>
      </c>
      <c r="B171" s="509"/>
      <c r="C171" s="463"/>
      <c r="D171" s="464"/>
      <c r="E171" s="464"/>
      <c r="F171" s="464"/>
      <c r="G171" s="464"/>
      <c r="H171" s="464"/>
      <c r="I171" s="464"/>
      <c r="J171" s="464"/>
      <c r="K171" s="440">
        <f>C171+D171+E171+F171+G171+H171+I171+J171</f>
        <v>0</v>
      </c>
      <c r="L171" s="441">
        <f>D171+E171+F171+G171+H171+I171+J171</f>
        <v>0</v>
      </c>
    </row>
    <row r="172" spans="1:12" s="510" customFormat="1" ht="20.100000000000001" hidden="1" customHeight="1" x14ac:dyDescent="0.2">
      <c r="A172" s="446" t="s">
        <v>423</v>
      </c>
      <c r="B172" s="509"/>
      <c r="C172" s="357"/>
      <c r="D172" s="466"/>
      <c r="E172" s="466"/>
      <c r="F172" s="464"/>
      <c r="G172" s="464"/>
      <c r="H172" s="464"/>
      <c r="I172" s="464"/>
      <c r="J172" s="464"/>
      <c r="K172" s="440">
        <f>C172+D172+E172+F172+G172+H172+I172+J172</f>
        <v>0</v>
      </c>
      <c r="L172" s="441">
        <f>D172+E172+F172+G172+H172+I172+J172</f>
        <v>0</v>
      </c>
    </row>
    <row r="173" spans="1:12" s="510" customFormat="1" ht="46.5" hidden="1" customHeight="1" x14ac:dyDescent="0.2">
      <c r="A173" s="446" t="s">
        <v>424</v>
      </c>
      <c r="B173" s="509"/>
      <c r="C173" s="357"/>
      <c r="D173" s="466"/>
      <c r="E173" s="466"/>
      <c r="F173" s="464"/>
      <c r="G173" s="464"/>
      <c r="H173" s="464"/>
      <c r="I173" s="464"/>
      <c r="J173" s="464"/>
      <c r="K173" s="440">
        <f>C173+D173+E173+F173+G173+H173+I173+J173</f>
        <v>0</v>
      </c>
      <c r="L173" s="441">
        <f>D173+E173+F173+G173+H173+I173+J173</f>
        <v>0</v>
      </c>
    </row>
    <row r="174" spans="1:12" s="510" customFormat="1" ht="20.100000000000001" hidden="1" customHeight="1" x14ac:dyDescent="0.2">
      <c r="A174" s="446" t="s">
        <v>425</v>
      </c>
      <c r="B174" s="509"/>
      <c r="C174" s="463"/>
      <c r="D174" s="464"/>
      <c r="E174" s="464"/>
      <c r="F174" s="464"/>
      <c r="G174" s="464"/>
      <c r="H174" s="464"/>
      <c r="I174" s="464"/>
      <c r="J174" s="464"/>
      <c r="K174" s="440">
        <f>C174+D174+E174+F174+G174+H174+I174+J174</f>
        <v>0</v>
      </c>
      <c r="L174" s="441">
        <f>D174+E174+F174+G174+H174+I174+J174</f>
        <v>0</v>
      </c>
    </row>
    <row r="175" spans="1:12" s="510" customFormat="1" ht="20.100000000000001" hidden="1" customHeight="1" x14ac:dyDescent="0.2">
      <c r="A175" s="446" t="s">
        <v>426</v>
      </c>
      <c r="B175" s="509"/>
      <c r="C175" s="463"/>
      <c r="D175" s="464"/>
      <c r="E175" s="464"/>
      <c r="F175" s="464"/>
      <c r="G175" s="464"/>
      <c r="H175" s="464"/>
      <c r="I175" s="464"/>
      <c r="J175" s="464"/>
      <c r="K175" s="440">
        <f>C175+D175+E175+F175+G175+H175+I175+J175</f>
        <v>0</v>
      </c>
      <c r="L175" s="441">
        <f>D175+E175+F175+G175+H175+I175+J175</f>
        <v>0</v>
      </c>
    </row>
    <row r="176" spans="1:12" s="510" customFormat="1" ht="20.100000000000001" hidden="1" customHeight="1" x14ac:dyDescent="0.2">
      <c r="A176" s="446" t="s">
        <v>427</v>
      </c>
      <c r="B176" s="509"/>
      <c r="C176" s="463"/>
      <c r="D176" s="464"/>
      <c r="E176" s="464"/>
      <c r="F176" s="464"/>
      <c r="G176" s="464"/>
      <c r="H176" s="464"/>
      <c r="I176" s="464"/>
      <c r="J176" s="464"/>
      <c r="K176" s="440">
        <f>C176+D176+E176+F176+G176+H176+I176+J176</f>
        <v>0</v>
      </c>
      <c r="L176" s="441">
        <f>D176+E176+F176+G176+H176+I176+J176</f>
        <v>0</v>
      </c>
    </row>
    <row r="177" spans="1:12" s="510" customFormat="1" ht="20.100000000000001" hidden="1" customHeight="1" x14ac:dyDescent="0.2">
      <c r="A177" s="446" t="s">
        <v>428</v>
      </c>
      <c r="B177" s="509"/>
      <c r="C177" s="463"/>
      <c r="D177" s="466"/>
      <c r="E177" s="464"/>
      <c r="F177" s="464"/>
      <c r="G177" s="464"/>
      <c r="H177" s="464"/>
      <c r="I177" s="464"/>
      <c r="J177" s="464"/>
      <c r="K177" s="440">
        <f>C177+D177+E177+F177+G177+H177+I177+J177</f>
        <v>0</v>
      </c>
      <c r="L177" s="441">
        <f>D177+E177+F177+G177+H177+I177+J177</f>
        <v>0</v>
      </c>
    </row>
    <row r="178" spans="1:12" s="510" customFormat="1" ht="54.75" customHeight="1" x14ac:dyDescent="0.2">
      <c r="A178" s="446" t="s">
        <v>429</v>
      </c>
      <c r="B178" s="509"/>
      <c r="C178" s="463">
        <v>40000</v>
      </c>
      <c r="D178" s="464"/>
      <c r="E178" s="464"/>
      <c r="F178" s="464"/>
      <c r="G178" s="464"/>
      <c r="H178" s="464"/>
      <c r="I178" s="464"/>
      <c r="J178" s="464"/>
      <c r="K178" s="440">
        <f>C178+D178+E178+F178+G178+H178+I178+J178</f>
        <v>40000</v>
      </c>
      <c r="L178" s="441">
        <f>D178+E178+F178+G178+H178+I178+J178</f>
        <v>0</v>
      </c>
    </row>
    <row r="179" spans="1:12" s="510" customFormat="1" ht="20.100000000000001" customHeight="1" x14ac:dyDescent="0.2">
      <c r="A179" s="446" t="s">
        <v>430</v>
      </c>
      <c r="B179" s="509"/>
      <c r="C179" s="463">
        <v>7000</v>
      </c>
      <c r="D179" s="464"/>
      <c r="E179" s="464"/>
      <c r="F179" s="464"/>
      <c r="G179" s="464"/>
      <c r="H179" s="464"/>
      <c r="I179" s="464"/>
      <c r="J179" s="464"/>
      <c r="K179" s="440">
        <f>C179+D179+E179+F179+G179+H179+I179+J179</f>
        <v>7000</v>
      </c>
      <c r="L179" s="441">
        <f>D179+E179+F179+G179+H179+I179+J179</f>
        <v>0</v>
      </c>
    </row>
    <row r="180" spans="1:12" s="510" customFormat="1" ht="20.100000000000001" hidden="1" customHeight="1" x14ac:dyDescent="0.2">
      <c r="A180" s="446" t="s">
        <v>431</v>
      </c>
      <c r="B180" s="509"/>
      <c r="C180" s="463"/>
      <c r="D180" s="464"/>
      <c r="E180" s="464"/>
      <c r="F180" s="464"/>
      <c r="G180" s="464"/>
      <c r="H180" s="464"/>
      <c r="I180" s="464"/>
      <c r="J180" s="464"/>
      <c r="K180" s="440">
        <f>C180+D180+E180+F180+G180+H180+I180+J180</f>
        <v>0</v>
      </c>
      <c r="L180" s="441">
        <f>D180+E180+F180+G180+H180+I180+J180</f>
        <v>0</v>
      </c>
    </row>
    <row r="181" spans="1:12" s="510" customFormat="1" ht="20.100000000000001" hidden="1" customHeight="1" x14ac:dyDescent="0.2">
      <c r="A181" s="446" t="s">
        <v>432</v>
      </c>
      <c r="B181" s="509"/>
      <c r="C181" s="463"/>
      <c r="D181" s="464"/>
      <c r="E181" s="464"/>
      <c r="F181" s="464"/>
      <c r="G181" s="464"/>
      <c r="H181" s="464"/>
      <c r="I181" s="464"/>
      <c r="J181" s="464"/>
      <c r="K181" s="440">
        <f>C181+D181+E181+F181+G181+H181+I181+J181</f>
        <v>0</v>
      </c>
      <c r="L181" s="441">
        <f>D181+E181+F181+G181+H181+I181+J181</f>
        <v>0</v>
      </c>
    </row>
    <row r="182" spans="1:12" s="510" customFormat="1" ht="20.100000000000001" hidden="1" customHeight="1" x14ac:dyDescent="0.2">
      <c r="A182" s="446" t="s">
        <v>433</v>
      </c>
      <c r="B182" s="509"/>
      <c r="C182" s="463"/>
      <c r="D182" s="464"/>
      <c r="E182" s="464"/>
      <c r="F182" s="464"/>
      <c r="G182" s="464"/>
      <c r="H182" s="464"/>
      <c r="I182" s="464"/>
      <c r="J182" s="464"/>
      <c r="K182" s="440">
        <f>C182+D182+E182+F182+G182+H182+I182+J182</f>
        <v>0</v>
      </c>
      <c r="L182" s="441">
        <f>D182+E182+F182+G182+H182+I182+J182</f>
        <v>0</v>
      </c>
    </row>
    <row r="183" spans="1:12" s="531" customFormat="1" ht="26.25" hidden="1" customHeight="1" x14ac:dyDescent="0.2">
      <c r="A183" s="446" t="s">
        <v>434</v>
      </c>
      <c r="B183" s="530"/>
      <c r="C183" s="463"/>
      <c r="D183" s="475"/>
      <c r="E183" s="475"/>
      <c r="F183" s="475"/>
      <c r="G183" s="475"/>
      <c r="H183" s="475"/>
      <c r="I183" s="475"/>
      <c r="J183" s="475"/>
      <c r="K183" s="440">
        <f>C183+D183+E183+F183+G183+H183+I183+J183</f>
        <v>0</v>
      </c>
      <c r="L183" s="441">
        <f>D183+E183+F183+G183+H183+I183+J183</f>
        <v>0</v>
      </c>
    </row>
    <row r="184" spans="1:12" s="531" customFormat="1" ht="20.100000000000001" hidden="1" customHeight="1" x14ac:dyDescent="0.2">
      <c r="A184" s="446" t="s">
        <v>435</v>
      </c>
      <c r="B184" s="530"/>
      <c r="C184" s="476"/>
      <c r="D184" s="475"/>
      <c r="E184" s="475"/>
      <c r="F184" s="475"/>
      <c r="G184" s="475"/>
      <c r="H184" s="475"/>
      <c r="I184" s="475"/>
      <c r="J184" s="475"/>
      <c r="K184" s="440">
        <f>C184+D184+E184+F184+G184+H184+I184+J184</f>
        <v>0</v>
      </c>
      <c r="L184" s="441">
        <f>D184+E184+F184+G184+H184+I184+J184</f>
        <v>0</v>
      </c>
    </row>
    <row r="185" spans="1:12" s="531" customFormat="1" ht="20.100000000000001" hidden="1" customHeight="1" x14ac:dyDescent="0.2">
      <c r="A185" s="446" t="s">
        <v>436</v>
      </c>
      <c r="B185" s="530"/>
      <c r="C185" s="476"/>
      <c r="D185" s="475"/>
      <c r="E185" s="475"/>
      <c r="F185" s="475"/>
      <c r="G185" s="475"/>
      <c r="H185" s="475"/>
      <c r="I185" s="475"/>
      <c r="J185" s="475"/>
      <c r="K185" s="440">
        <f>C185+D185+E185+F185+G185+H185+I185+J185</f>
        <v>0</v>
      </c>
      <c r="L185" s="441">
        <f>D185+E185+F185+G185+H185+I185+J185</f>
        <v>0</v>
      </c>
    </row>
    <row r="186" spans="1:12" s="537" customFormat="1" ht="30" customHeight="1" thickBot="1" x14ac:dyDescent="0.25">
      <c r="A186" s="525" t="s">
        <v>437</v>
      </c>
      <c r="B186" s="535" t="s">
        <v>12</v>
      </c>
      <c r="C186" s="536">
        <f>C167+C166+C111+C106+C96+C95</f>
        <v>2637936</v>
      </c>
      <c r="D186" s="536">
        <f t="shared" ref="D186:J186" si="22">D167+D166+D111+D106+D96+D95</f>
        <v>0</v>
      </c>
      <c r="E186" s="536">
        <f t="shared" si="22"/>
        <v>0</v>
      </c>
      <c r="F186" s="536">
        <f t="shared" si="22"/>
        <v>0</v>
      </c>
      <c r="G186" s="536">
        <f t="shared" si="22"/>
        <v>0</v>
      </c>
      <c r="H186" s="536">
        <f t="shared" si="22"/>
        <v>0</v>
      </c>
      <c r="I186" s="536">
        <f t="shared" si="22"/>
        <v>0</v>
      </c>
      <c r="J186" s="536">
        <f t="shared" si="22"/>
        <v>0</v>
      </c>
      <c r="K186" s="440">
        <f>C186+D186+E186+F186+G186+H186+I186+J186</f>
        <v>2637936</v>
      </c>
      <c r="L186" s="441">
        <f>D186+E186+F186+G186+H186+I186+J186</f>
        <v>0</v>
      </c>
    </row>
    <row r="187" spans="1:12" s="538" customFormat="1" ht="20.100000000000001" customHeight="1" x14ac:dyDescent="0.2">
      <c r="A187" s="438" t="s">
        <v>438</v>
      </c>
      <c r="B187" s="514"/>
      <c r="C187" s="477">
        <v>57</v>
      </c>
      <c r="D187" s="478"/>
      <c r="E187" s="439"/>
      <c r="F187" s="478"/>
      <c r="G187" s="478"/>
      <c r="H187" s="478"/>
      <c r="I187" s="478"/>
      <c r="J187" s="439"/>
      <c r="K187" s="440">
        <f>C187+D187+E187+F187+G187+H187+I187+J187</f>
        <v>57</v>
      </c>
      <c r="L187" s="441">
        <f>D187+E187+F187+G187+H187+I187+J187</f>
        <v>0</v>
      </c>
    </row>
    <row r="188" spans="1:12" s="533" customFormat="1" ht="20.100000000000001" customHeight="1" x14ac:dyDescent="0.2">
      <c r="A188" s="444" t="s">
        <v>439</v>
      </c>
      <c r="B188" s="516"/>
      <c r="C188" s="465">
        <v>545000</v>
      </c>
      <c r="D188" s="465">
        <v>8000</v>
      </c>
      <c r="E188" s="465">
        <f>4452+14617</f>
        <v>19069</v>
      </c>
      <c r="F188" s="465">
        <v>770071</v>
      </c>
      <c r="G188" s="465">
        <f t="shared" ref="G188:H188" si="23">SUM(G189:G190)</f>
        <v>0</v>
      </c>
      <c r="H188" s="465">
        <f t="shared" si="23"/>
        <v>0</v>
      </c>
      <c r="I188" s="465">
        <v>224</v>
      </c>
      <c r="J188" s="465">
        <v>12000</v>
      </c>
      <c r="K188" s="440">
        <f>C188+D188+E188+F188+G188+H188+I188+J188</f>
        <v>1354364</v>
      </c>
      <c r="L188" s="441">
        <f>D188+E188+F188+G188+H188+I188+J188</f>
        <v>809364</v>
      </c>
    </row>
    <row r="189" spans="1:12" s="540" customFormat="1" ht="30.75" customHeight="1" x14ac:dyDescent="0.25">
      <c r="A189" s="446" t="s">
        <v>440</v>
      </c>
      <c r="B189" s="539"/>
      <c r="C189" s="448">
        <v>20000</v>
      </c>
      <c r="D189" s="448"/>
      <c r="E189" s="448"/>
      <c r="F189" s="357">
        <v>750000</v>
      </c>
      <c r="G189" s="357"/>
      <c r="H189" s="357"/>
      <c r="I189" s="357"/>
      <c r="J189" s="447"/>
      <c r="K189" s="440">
        <f>C189+D189+E189+F189+G189+H189+I189+J189</f>
        <v>770000</v>
      </c>
      <c r="L189" s="441">
        <f>D189+E189+F189+G189+H189+I189+J189</f>
        <v>750000</v>
      </c>
    </row>
    <row r="190" spans="1:12" s="521" customFormat="1" ht="26.25" customHeight="1" x14ac:dyDescent="0.2">
      <c r="A190" s="446" t="s">
        <v>441</v>
      </c>
      <c r="B190" s="539"/>
      <c r="C190" s="357">
        <v>46800</v>
      </c>
      <c r="D190" s="464"/>
      <c r="E190" s="357"/>
      <c r="F190" s="464"/>
      <c r="G190" s="464"/>
      <c r="H190" s="464"/>
      <c r="I190" s="464"/>
      <c r="J190" s="464"/>
      <c r="K190" s="440">
        <f>C190+D190+E190+F190+G190+H190+I190+J190</f>
        <v>46800</v>
      </c>
      <c r="L190" s="441">
        <f>D190+E190+F190+G190+H190+I190+J190</f>
        <v>0</v>
      </c>
    </row>
    <row r="191" spans="1:12" s="392" customFormat="1" ht="20.100000000000001" customHeight="1" x14ac:dyDescent="0.2">
      <c r="A191" s="442" t="s">
        <v>442</v>
      </c>
      <c r="B191" s="541"/>
      <c r="C191" s="463">
        <v>5250</v>
      </c>
      <c r="D191" s="464"/>
      <c r="E191" s="317"/>
      <c r="F191" s="443">
        <v>104600</v>
      </c>
      <c r="G191" s="443">
        <v>4837</v>
      </c>
      <c r="H191" s="443"/>
      <c r="I191" s="443"/>
      <c r="J191" s="443"/>
      <c r="K191" s="440">
        <f>C191+D191+E191+F191+G191+H191+I191+J191</f>
        <v>114687</v>
      </c>
      <c r="L191" s="441">
        <f>D191+E191+F191+G191+H191+I191+J191</f>
        <v>109437</v>
      </c>
    </row>
    <row r="192" spans="1:12" s="521" customFormat="1" ht="20.100000000000001" customHeight="1" x14ac:dyDescent="0.2">
      <c r="A192" s="446" t="s">
        <v>443</v>
      </c>
      <c r="B192" s="539"/>
      <c r="C192" s="463"/>
      <c r="D192" s="357"/>
      <c r="E192" s="357"/>
      <c r="F192" s="464"/>
      <c r="G192" s="464"/>
      <c r="H192" s="464"/>
      <c r="I192" s="464"/>
      <c r="J192" s="464"/>
      <c r="K192" s="440">
        <f>C192+D192+E192+F192+G192+H192+I192+J192</f>
        <v>0</v>
      </c>
      <c r="L192" s="441">
        <f>D192+E192+F192+G192+H192+I192+J192</f>
        <v>0</v>
      </c>
    </row>
    <row r="193" spans="1:12" s="533" customFormat="1" ht="20.100000000000001" customHeight="1" x14ac:dyDescent="0.2">
      <c r="A193" s="444" t="s">
        <v>444</v>
      </c>
      <c r="B193" s="516"/>
      <c r="C193" s="465">
        <f>SUM(C194:C199)</f>
        <v>4500</v>
      </c>
      <c r="D193" s="465">
        <f t="shared" ref="D193:J193" si="24">SUM(D194:D199)</f>
        <v>0</v>
      </c>
      <c r="E193" s="465">
        <f t="shared" si="24"/>
        <v>0</v>
      </c>
      <c r="F193" s="465">
        <f t="shared" si="24"/>
        <v>0</v>
      </c>
      <c r="G193" s="465">
        <f t="shared" si="24"/>
        <v>0</v>
      </c>
      <c r="H193" s="465">
        <f t="shared" si="24"/>
        <v>0</v>
      </c>
      <c r="I193" s="465">
        <f t="shared" si="24"/>
        <v>0</v>
      </c>
      <c r="J193" s="465">
        <f t="shared" si="24"/>
        <v>0</v>
      </c>
      <c r="K193" s="440">
        <f>C193+D193+E193+F193+G193+H193+I193+J193</f>
        <v>4500</v>
      </c>
      <c r="L193" s="441">
        <f>D193+E193+F193+G193+H193+I193+J193</f>
        <v>0</v>
      </c>
    </row>
    <row r="194" spans="1:12" s="521" customFormat="1" ht="27" customHeight="1" x14ac:dyDescent="0.2">
      <c r="A194" s="446" t="s">
        <v>445</v>
      </c>
      <c r="B194" s="539"/>
      <c r="C194" s="463"/>
      <c r="D194" s="357"/>
      <c r="E194" s="464"/>
      <c r="F194" s="464"/>
      <c r="G194" s="464"/>
      <c r="H194" s="464"/>
      <c r="I194" s="464"/>
      <c r="J194" s="464"/>
      <c r="K194" s="440">
        <f>C194+D194+E194+F194+G194+H194+I194+J194</f>
        <v>0</v>
      </c>
      <c r="L194" s="441">
        <f>D194+E194+F194+G194+H194+I194+J194</f>
        <v>0</v>
      </c>
    </row>
    <row r="195" spans="1:12" s="521" customFormat="1" ht="30" customHeight="1" x14ac:dyDescent="0.2">
      <c r="A195" s="446" t="s">
        <v>446</v>
      </c>
      <c r="B195" s="539"/>
      <c r="C195" s="357">
        <v>4500</v>
      </c>
      <c r="D195" s="357"/>
      <c r="E195" s="464"/>
      <c r="F195" s="464"/>
      <c r="G195" s="464"/>
      <c r="H195" s="464"/>
      <c r="I195" s="464"/>
      <c r="J195" s="464"/>
      <c r="K195" s="440">
        <f>C195+D195+E195+F195+G195+H195+I195+J195</f>
        <v>4500</v>
      </c>
      <c r="L195" s="441">
        <f>D195+E195+F195+G195+H195+I195+J195</f>
        <v>0</v>
      </c>
    </row>
    <row r="196" spans="1:12" s="521" customFormat="1" ht="27.75" hidden="1" customHeight="1" x14ac:dyDescent="0.2">
      <c r="A196" s="446" t="s">
        <v>447</v>
      </c>
      <c r="B196" s="539"/>
      <c r="C196" s="448"/>
      <c r="D196" s="464"/>
      <c r="E196" s="464"/>
      <c r="F196" s="464"/>
      <c r="G196" s="464"/>
      <c r="H196" s="464"/>
      <c r="I196" s="464"/>
      <c r="J196" s="464"/>
      <c r="K196" s="440">
        <f>C196+D196+E196+F196+G196+H196+I196+J196</f>
        <v>0</v>
      </c>
      <c r="L196" s="441">
        <f>D196+E196+F196+G196+H196+I196+J196</f>
        <v>0</v>
      </c>
    </row>
    <row r="197" spans="1:12" s="521" customFormat="1" ht="25.5" hidden="1" customHeight="1" x14ac:dyDescent="0.2">
      <c r="A197" s="446" t="s">
        <v>448</v>
      </c>
      <c r="B197" s="539"/>
      <c r="C197" s="357"/>
      <c r="D197" s="357"/>
      <c r="E197" s="357"/>
      <c r="F197" s="464"/>
      <c r="G197" s="464"/>
      <c r="H197" s="464"/>
      <c r="I197" s="464"/>
      <c r="J197" s="464"/>
      <c r="K197" s="440">
        <f>C197+D197+E197+F197+G197+H197+I197+J197</f>
        <v>0</v>
      </c>
      <c r="L197" s="441">
        <f>D197+E197+F197+G197+H197+I197+J197</f>
        <v>0</v>
      </c>
    </row>
    <row r="198" spans="1:12" s="521" customFormat="1" ht="29.25" hidden="1" customHeight="1" x14ac:dyDescent="0.2">
      <c r="A198" s="446" t="s">
        <v>449</v>
      </c>
      <c r="B198" s="539"/>
      <c r="C198" s="463"/>
      <c r="D198" s="464"/>
      <c r="E198" s="464"/>
      <c r="F198" s="464"/>
      <c r="G198" s="464"/>
      <c r="H198" s="464"/>
      <c r="I198" s="464"/>
      <c r="J198" s="464"/>
      <c r="K198" s="440">
        <f>C198+D198+E198+F198+G198+H198+I198+J198</f>
        <v>0</v>
      </c>
      <c r="L198" s="441">
        <f>D198+E198+F198+G198+H198+I198+J198</f>
        <v>0</v>
      </c>
    </row>
    <row r="199" spans="1:12" s="521" customFormat="1" ht="20.100000000000001" hidden="1" customHeight="1" x14ac:dyDescent="0.2">
      <c r="A199" s="446" t="s">
        <v>450</v>
      </c>
      <c r="B199" s="539"/>
      <c r="C199" s="463"/>
      <c r="D199" s="464"/>
      <c r="E199" s="464"/>
      <c r="F199" s="464"/>
      <c r="G199" s="464"/>
      <c r="H199" s="464"/>
      <c r="I199" s="464"/>
      <c r="J199" s="464"/>
      <c r="K199" s="440">
        <f>C199+D199+E199+F199+G199+H199+I199+J199</f>
        <v>0</v>
      </c>
      <c r="L199" s="441">
        <f>D199+E199+F199+G199+H199+I199+J199</f>
        <v>0</v>
      </c>
    </row>
    <row r="200" spans="1:12" s="392" customFormat="1" ht="20.100000000000001" customHeight="1" x14ac:dyDescent="0.2">
      <c r="A200" s="442" t="s">
        <v>451</v>
      </c>
      <c r="B200" s="541"/>
      <c r="C200" s="317"/>
      <c r="D200" s="317"/>
      <c r="E200" s="317"/>
      <c r="F200" s="317">
        <v>50000</v>
      </c>
      <c r="G200" s="317">
        <v>23320</v>
      </c>
      <c r="H200" s="317">
        <v>20220</v>
      </c>
      <c r="I200" s="317">
        <v>44595</v>
      </c>
      <c r="J200" s="443"/>
      <c r="K200" s="440">
        <f>C200+D200+E200+F200+G200+H200+I200+J200</f>
        <v>138135</v>
      </c>
      <c r="L200" s="441">
        <f>D200+E200+F200+G200+H200+I200+J200</f>
        <v>138135</v>
      </c>
    </row>
    <row r="201" spans="1:12" s="392" customFormat="1" ht="20.100000000000001" customHeight="1" x14ac:dyDescent="0.2">
      <c r="A201" s="442" t="s">
        <v>452</v>
      </c>
      <c r="B201" s="541"/>
      <c r="C201" s="463">
        <v>168212</v>
      </c>
      <c r="D201" s="464">
        <v>2160</v>
      </c>
      <c r="E201" s="464">
        <f>+[1]Bevételek!$R$7/1000</f>
        <v>1879</v>
      </c>
      <c r="F201" s="317">
        <v>249661</v>
      </c>
      <c r="G201" s="317">
        <v>7602</v>
      </c>
      <c r="H201" s="317">
        <v>2209</v>
      </c>
      <c r="I201" s="317">
        <v>9374</v>
      </c>
      <c r="J201" s="443"/>
      <c r="K201" s="440">
        <f>C201+D201+E201+F201+G201+H201+I201+J201</f>
        <v>441097</v>
      </c>
      <c r="L201" s="441">
        <f>D201+E201+F201+G201+H201+I201+J201</f>
        <v>272885</v>
      </c>
    </row>
    <row r="202" spans="1:12" s="392" customFormat="1" ht="20.100000000000001" customHeight="1" x14ac:dyDescent="0.2">
      <c r="A202" s="442" t="s">
        <v>453</v>
      </c>
      <c r="B202" s="541"/>
      <c r="C202" s="448"/>
      <c r="D202" s="317"/>
      <c r="E202" s="317"/>
      <c r="F202" s="317"/>
      <c r="G202" s="317"/>
      <c r="H202" s="317"/>
      <c r="I202" s="317"/>
      <c r="J202" s="443"/>
      <c r="K202" s="440">
        <f>C202+D202+E202+F202+G202+H202+I202+J202</f>
        <v>0</v>
      </c>
      <c r="L202" s="441">
        <f>D202+E202+F202+G202+H202+I202+J202</f>
        <v>0</v>
      </c>
    </row>
    <row r="203" spans="1:12" s="533" customFormat="1" ht="27" customHeight="1" x14ac:dyDescent="0.2">
      <c r="A203" s="444" t="s">
        <v>454</v>
      </c>
      <c r="B203" s="516"/>
      <c r="C203" s="465">
        <f>SUM(C204:C205)</f>
        <v>0</v>
      </c>
      <c r="D203" s="465">
        <f t="shared" ref="D203:J203" si="25">SUM(D204:D205)</f>
        <v>0</v>
      </c>
      <c r="E203" s="465">
        <f t="shared" si="25"/>
        <v>0</v>
      </c>
      <c r="F203" s="465">
        <f t="shared" si="25"/>
        <v>0</v>
      </c>
      <c r="G203" s="465">
        <f t="shared" si="25"/>
        <v>0</v>
      </c>
      <c r="H203" s="465">
        <f t="shared" si="25"/>
        <v>0</v>
      </c>
      <c r="I203" s="465">
        <f t="shared" si="25"/>
        <v>0</v>
      </c>
      <c r="J203" s="465">
        <f t="shared" si="25"/>
        <v>0</v>
      </c>
      <c r="K203" s="440">
        <f>C203+D203+E203+F203+G203+H203+I203+J203</f>
        <v>0</v>
      </c>
      <c r="L203" s="441">
        <f>D203+E203+F203+G203+H203+I203+J203</f>
        <v>0</v>
      </c>
    </row>
    <row r="204" spans="1:12" s="521" customFormat="1" ht="20.100000000000001" hidden="1" customHeight="1" x14ac:dyDescent="0.2">
      <c r="A204" s="446" t="s">
        <v>455</v>
      </c>
      <c r="B204" s="539"/>
      <c r="C204" s="463"/>
      <c r="D204" s="464"/>
      <c r="E204" s="464"/>
      <c r="F204" s="464"/>
      <c r="G204" s="464"/>
      <c r="H204" s="464"/>
      <c r="I204" s="464"/>
      <c r="J204" s="464"/>
      <c r="K204" s="440">
        <f>C204+D204+E204+F204+G204+H204+I204+J204</f>
        <v>0</v>
      </c>
      <c r="L204" s="441">
        <f>D204+E204+F204+G204+H204+I204+J204</f>
        <v>0</v>
      </c>
    </row>
    <row r="205" spans="1:12" s="521" customFormat="1" ht="30.75" hidden="1" customHeight="1" x14ac:dyDescent="0.2">
      <c r="A205" s="446" t="s">
        <v>456</v>
      </c>
      <c r="B205" s="539"/>
      <c r="C205" s="448"/>
      <c r="D205" s="357"/>
      <c r="E205" s="443"/>
      <c r="F205" s="464"/>
      <c r="G205" s="464"/>
      <c r="H205" s="464"/>
      <c r="I205" s="464"/>
      <c r="J205" s="464"/>
      <c r="K205" s="440">
        <f>C205+D205+E205+F205+G205+H205+I205+J205</f>
        <v>0</v>
      </c>
      <c r="L205" s="441">
        <f>D205+E205+F205+G205+H205+I205+J205</f>
        <v>0</v>
      </c>
    </row>
    <row r="206" spans="1:12" s="542" customFormat="1" ht="30" customHeight="1" x14ac:dyDescent="0.2">
      <c r="A206" s="442" t="s">
        <v>457</v>
      </c>
      <c r="B206" s="541"/>
      <c r="C206" s="448">
        <v>14000</v>
      </c>
      <c r="D206" s="448">
        <f t="shared" ref="D206:J206" si="26">SUM(D207:D208)</f>
        <v>0</v>
      </c>
      <c r="E206" s="448">
        <v>60</v>
      </c>
      <c r="F206" s="448">
        <v>100</v>
      </c>
      <c r="G206" s="448">
        <f t="shared" si="26"/>
        <v>0</v>
      </c>
      <c r="H206" s="448">
        <f t="shared" si="26"/>
        <v>0</v>
      </c>
      <c r="I206" s="448">
        <f t="shared" si="26"/>
        <v>0</v>
      </c>
      <c r="J206" s="448">
        <f t="shared" si="26"/>
        <v>0</v>
      </c>
      <c r="K206" s="440">
        <f>C206+D206+E206+F206+G206+H206+I206+J206</f>
        <v>14160</v>
      </c>
      <c r="L206" s="441">
        <f>D206+E206+F206+G206+H206+I206+J206</f>
        <v>160</v>
      </c>
    </row>
    <row r="207" spans="1:12" s="521" customFormat="1" ht="20.100000000000001" hidden="1" customHeight="1" x14ac:dyDescent="0.2">
      <c r="A207" s="446" t="s">
        <v>458</v>
      </c>
      <c r="B207" s="539"/>
      <c r="C207" s="357"/>
      <c r="D207" s="448"/>
      <c r="E207" s="357"/>
      <c r="F207" s="464"/>
      <c r="G207" s="464"/>
      <c r="H207" s="464"/>
      <c r="I207" s="464"/>
      <c r="J207" s="464"/>
      <c r="K207" s="440">
        <f>C207+D207+E207+F207+G207+H207+I207+J207</f>
        <v>0</v>
      </c>
      <c r="L207" s="441">
        <f>D207+E207+F207+G207+H207+I207+J207</f>
        <v>0</v>
      </c>
    </row>
    <row r="208" spans="1:12" s="521" customFormat="1" ht="20.100000000000001" hidden="1" customHeight="1" x14ac:dyDescent="0.2">
      <c r="A208" s="446" t="s">
        <v>459</v>
      </c>
      <c r="B208" s="539"/>
      <c r="C208" s="463"/>
      <c r="D208" s="464"/>
      <c r="E208" s="357"/>
      <c r="F208" s="464"/>
      <c r="G208" s="464"/>
      <c r="H208" s="464"/>
      <c r="I208" s="464"/>
      <c r="J208" s="464"/>
      <c r="K208" s="440">
        <f>C208+D208+E208+F208+G208+H208+I208+J208</f>
        <v>0</v>
      </c>
      <c r="L208" s="441">
        <f>D208+E208+F208+G208+H208+I208+J208</f>
        <v>0</v>
      </c>
    </row>
    <row r="209" spans="1:12" s="543" customFormat="1" ht="27.75" customHeight="1" x14ac:dyDescent="0.2">
      <c r="A209" s="444" t="s">
        <v>460</v>
      </c>
      <c r="B209" s="516"/>
      <c r="C209" s="465">
        <f>+C206</f>
        <v>14000</v>
      </c>
      <c r="D209" s="479">
        <v>0</v>
      </c>
      <c r="E209" s="479">
        <f>+E203+E206</f>
        <v>60</v>
      </c>
      <c r="F209" s="445">
        <f t="shared" ref="F209:J209" si="27">SUM(F203,F206)</f>
        <v>100</v>
      </c>
      <c r="G209" s="445">
        <f t="shared" si="27"/>
        <v>0</v>
      </c>
      <c r="H209" s="445">
        <f t="shared" si="27"/>
        <v>0</v>
      </c>
      <c r="I209" s="445">
        <f t="shared" si="27"/>
        <v>0</v>
      </c>
      <c r="J209" s="445">
        <f t="shared" si="27"/>
        <v>0</v>
      </c>
      <c r="K209" s="440">
        <f>C209+D209+E209+F209+G209+H209+I209+J209</f>
        <v>14160</v>
      </c>
      <c r="L209" s="441">
        <f>D209+E209+F209+G209+H209+I209+J209</f>
        <v>160</v>
      </c>
    </row>
    <row r="210" spans="1:12" s="392" customFormat="1" ht="27.75" hidden="1" customHeight="1" x14ac:dyDescent="0.2">
      <c r="A210" s="442" t="s">
        <v>461</v>
      </c>
      <c r="B210" s="541"/>
      <c r="C210" s="317"/>
      <c r="D210" s="317"/>
      <c r="E210" s="317"/>
      <c r="F210" s="443"/>
      <c r="G210" s="443"/>
      <c r="H210" s="443"/>
      <c r="I210" s="443"/>
      <c r="J210" s="443"/>
      <c r="K210" s="440">
        <f>C210+D210+E210+F210+G210+H210+I210+J210</f>
        <v>0</v>
      </c>
      <c r="L210" s="441">
        <f>D210+E210+F210+G210+H210+I210+J210</f>
        <v>0</v>
      </c>
    </row>
    <row r="211" spans="1:12" s="533" customFormat="1" ht="29.25" customHeight="1" x14ac:dyDescent="0.2">
      <c r="A211" s="444" t="s">
        <v>462</v>
      </c>
      <c r="B211" s="516"/>
      <c r="C211" s="465">
        <f>SUM(C212:C216)</f>
        <v>0</v>
      </c>
      <c r="D211" s="465">
        <f t="shared" ref="D211:J211" si="28">SUM(D212:D216)</f>
        <v>0</v>
      </c>
      <c r="E211" s="465">
        <f t="shared" si="28"/>
        <v>0</v>
      </c>
      <c r="F211" s="465">
        <f t="shared" si="28"/>
        <v>0</v>
      </c>
      <c r="G211" s="465">
        <f t="shared" si="28"/>
        <v>0</v>
      </c>
      <c r="H211" s="465">
        <f t="shared" si="28"/>
        <v>0</v>
      </c>
      <c r="I211" s="465">
        <f t="shared" si="28"/>
        <v>0</v>
      </c>
      <c r="J211" s="465">
        <f t="shared" si="28"/>
        <v>0</v>
      </c>
      <c r="K211" s="440">
        <f>C211+D211+E211+F211+G211+H211+I211+J211</f>
        <v>0</v>
      </c>
      <c r="L211" s="441">
        <f>D211+E211+F211+G211+H211+I211+J211</f>
        <v>0</v>
      </c>
    </row>
    <row r="212" spans="1:12" s="521" customFormat="1" ht="30.75" hidden="1" customHeight="1" x14ac:dyDescent="0.2">
      <c r="A212" s="446" t="s">
        <v>463</v>
      </c>
      <c r="B212" s="539"/>
      <c r="C212" s="463"/>
      <c r="D212" s="357"/>
      <c r="E212" s="464"/>
      <c r="F212" s="464"/>
      <c r="G212" s="464"/>
      <c r="H212" s="464"/>
      <c r="I212" s="464"/>
      <c r="J212" s="464"/>
      <c r="K212" s="440">
        <f>C212+D212+E212+F212+G212+H212+I212+J212</f>
        <v>0</v>
      </c>
      <c r="L212" s="441">
        <f>D212+E212+F212+G212+H212+I212+J212</f>
        <v>0</v>
      </c>
    </row>
    <row r="213" spans="1:12" s="521" customFormat="1" ht="27.75" hidden="1" customHeight="1" x14ac:dyDescent="0.2">
      <c r="A213" s="446" t="s">
        <v>464</v>
      </c>
      <c r="B213" s="539"/>
      <c r="C213" s="463"/>
      <c r="D213" s="357"/>
      <c r="E213" s="357"/>
      <c r="F213" s="464"/>
      <c r="G213" s="464"/>
      <c r="H213" s="464"/>
      <c r="I213" s="464"/>
      <c r="J213" s="464"/>
      <c r="K213" s="440">
        <f>C213+D213+E213+F213+G213+H213+I213+J213</f>
        <v>0</v>
      </c>
      <c r="L213" s="441">
        <f>D213+E213+F213+G213+H213+I213+J213</f>
        <v>0</v>
      </c>
    </row>
    <row r="214" spans="1:12" s="521" customFormat="1" ht="20.100000000000001" customHeight="1" x14ac:dyDescent="0.2">
      <c r="A214" s="446" t="s">
        <v>465</v>
      </c>
      <c r="B214" s="539"/>
      <c r="C214" s="357"/>
      <c r="D214" s="357"/>
      <c r="E214" s="357"/>
      <c r="F214" s="464"/>
      <c r="G214" s="464"/>
      <c r="H214" s="464"/>
      <c r="I214" s="464"/>
      <c r="J214" s="464"/>
      <c r="K214" s="440">
        <f>C214+D214+E214+F214+G214+H214+I214+J214</f>
        <v>0</v>
      </c>
      <c r="L214" s="441">
        <f>D214+E214+F214+G214+H214+I214+J214</f>
        <v>0</v>
      </c>
    </row>
    <row r="215" spans="1:12" s="521" customFormat="1" ht="29.25" hidden="1" customHeight="1" x14ac:dyDescent="0.2">
      <c r="A215" s="446" t="s">
        <v>466</v>
      </c>
      <c r="B215" s="539"/>
      <c r="C215" s="463"/>
      <c r="D215" s="464"/>
      <c r="E215" s="464"/>
      <c r="F215" s="464"/>
      <c r="G215" s="464"/>
      <c r="H215" s="464"/>
      <c r="I215" s="464"/>
      <c r="J215" s="464"/>
      <c r="K215" s="440">
        <f>C215+D215+E215+F215+G215+H215+I215+J215</f>
        <v>0</v>
      </c>
      <c r="L215" s="441">
        <f>D215+E215+F215+G215+H215+I215+J215</f>
        <v>0</v>
      </c>
    </row>
    <row r="216" spans="1:12" s="521" customFormat="1" ht="26.25" hidden="1" customHeight="1" x14ac:dyDescent="0.2">
      <c r="A216" s="446" t="s">
        <v>467</v>
      </c>
      <c r="B216" s="539"/>
      <c r="C216" s="357"/>
      <c r="D216" s="357"/>
      <c r="E216" s="357"/>
      <c r="F216" s="464"/>
      <c r="G216" s="464"/>
      <c r="H216" s="464"/>
      <c r="I216" s="464"/>
      <c r="J216" s="464"/>
      <c r="K216" s="440">
        <f>C216+D216+E216+F216+G216+H216+I216+J216</f>
        <v>0</v>
      </c>
      <c r="L216" s="441">
        <f>D216+E216+F216+G216+H216+I216+J216</f>
        <v>0</v>
      </c>
    </row>
    <row r="217" spans="1:12" s="533" customFormat="1" ht="20.100000000000001" customHeight="1" x14ac:dyDescent="0.2">
      <c r="A217" s="444" t="s">
        <v>468</v>
      </c>
      <c r="B217" s="516"/>
      <c r="C217" s="474"/>
      <c r="D217" s="479">
        <v>0</v>
      </c>
      <c r="E217" s="479">
        <v>0</v>
      </c>
      <c r="F217" s="474">
        <f t="shared" ref="F217:J217" si="29">SUM(F210:F211)</f>
        <v>0</v>
      </c>
      <c r="G217" s="474">
        <f t="shared" si="29"/>
        <v>0</v>
      </c>
      <c r="H217" s="474">
        <f t="shared" si="29"/>
        <v>0</v>
      </c>
      <c r="I217" s="474">
        <f t="shared" si="29"/>
        <v>0</v>
      </c>
      <c r="J217" s="474">
        <f t="shared" si="29"/>
        <v>0</v>
      </c>
      <c r="K217" s="440">
        <f>C217+D217+E217+F217+G217+H217+I217+J217</f>
        <v>0</v>
      </c>
      <c r="L217" s="441">
        <f>D217+E217+F217+G217+H217+I217+J217</f>
        <v>0</v>
      </c>
    </row>
    <row r="218" spans="1:12" s="392" customFormat="1" ht="20.100000000000001" customHeight="1" x14ac:dyDescent="0.2">
      <c r="A218" s="442" t="s">
        <v>469</v>
      </c>
      <c r="B218" s="541"/>
      <c r="C218" s="317"/>
      <c r="D218" s="443"/>
      <c r="E218" s="443"/>
      <c r="F218" s="443">
        <v>1800</v>
      </c>
      <c r="G218" s="443">
        <v>0</v>
      </c>
      <c r="H218" s="443"/>
      <c r="I218" s="443"/>
      <c r="J218" s="443"/>
      <c r="K218" s="440">
        <f>C218+D218+E218+F218+G218+H218+I218+J218</f>
        <v>1800</v>
      </c>
      <c r="L218" s="441">
        <f>D218+E218+F218+G218+H218+I218+J218</f>
        <v>1800</v>
      </c>
    </row>
    <row r="219" spans="1:12" s="542" customFormat="1" ht="20.100000000000001" customHeight="1" x14ac:dyDescent="0.2">
      <c r="A219" s="480" t="s">
        <v>470</v>
      </c>
      <c r="B219" s="541"/>
      <c r="C219" s="481">
        <v>68200</v>
      </c>
      <c r="D219" s="477"/>
      <c r="E219" s="477">
        <v>0</v>
      </c>
      <c r="F219" s="448">
        <v>8000</v>
      </c>
      <c r="G219" s="448"/>
      <c r="H219" s="448">
        <f t="shared" ref="H219" si="30">SUM(H220:H221)</f>
        <v>0</v>
      </c>
      <c r="I219" s="448">
        <f t="shared" ref="I219" si="31">SUM(I220:I221)</f>
        <v>0</v>
      </c>
      <c r="J219" s="448">
        <f t="shared" ref="J219" si="32">SUM(J220:J221)</f>
        <v>0</v>
      </c>
      <c r="K219" s="440">
        <f>C219+D219+E219+F219+G219+H219+I219+J219</f>
        <v>76200</v>
      </c>
      <c r="L219" s="441">
        <f>D219+E219+F219+G219+H219+I219+J219</f>
        <v>8000</v>
      </c>
    </row>
    <row r="220" spans="1:12" s="521" customFormat="1" ht="68.25" customHeight="1" x14ac:dyDescent="0.2">
      <c r="A220" s="446" t="s">
        <v>471</v>
      </c>
      <c r="B220" s="539"/>
      <c r="C220" s="448">
        <v>0</v>
      </c>
      <c r="D220" s="464"/>
      <c r="E220" s="470"/>
      <c r="F220" s="464"/>
      <c r="G220" s="464">
        <v>0</v>
      </c>
      <c r="H220" s="464"/>
      <c r="I220" s="464"/>
      <c r="J220" s="464"/>
      <c r="K220" s="440">
        <f>C220+D220+E220+F220+G220+H220+I220+J220</f>
        <v>0</v>
      </c>
      <c r="L220" s="441">
        <f>D220+E220+F220+G220+H220+I220+J220</f>
        <v>0</v>
      </c>
    </row>
    <row r="221" spans="1:12" s="545" customFormat="1" ht="20.100000000000001" customHeight="1" x14ac:dyDescent="0.2">
      <c r="A221" s="446" t="s">
        <v>472</v>
      </c>
      <c r="B221" s="544"/>
      <c r="C221" s="463">
        <v>65000</v>
      </c>
      <c r="D221" s="482"/>
      <c r="E221" s="483"/>
      <c r="F221" s="482"/>
      <c r="G221" s="482"/>
      <c r="H221" s="482"/>
      <c r="I221" s="482"/>
      <c r="J221" s="482"/>
      <c r="K221" s="440">
        <f>C221+D221+E221+F221+G221+H221+I221+J221</f>
        <v>65000</v>
      </c>
      <c r="L221" s="441">
        <f>D221+E221+F221+G221+H221+I221+J221</f>
        <v>0</v>
      </c>
    </row>
    <row r="222" spans="1:12" s="528" customFormat="1" ht="51" customHeight="1" thickBot="1" x14ac:dyDescent="0.25">
      <c r="A222" s="525" t="s">
        <v>473</v>
      </c>
      <c r="B222" s="526" t="s">
        <v>13</v>
      </c>
      <c r="C222" s="546">
        <f>C219+C218+C217+C209+C202+C201+C200+C193+C191+C188+C187</f>
        <v>805219</v>
      </c>
      <c r="D222" s="546">
        <f t="shared" ref="D222:J222" si="33">D219+D218+D217+D209+D202+D201+D200+D193+D191+D188+D187</f>
        <v>10160</v>
      </c>
      <c r="E222" s="546">
        <f t="shared" si="33"/>
        <v>21008</v>
      </c>
      <c r="F222" s="546">
        <f t="shared" si="33"/>
        <v>1184232</v>
      </c>
      <c r="G222" s="546">
        <f t="shared" si="33"/>
        <v>35759</v>
      </c>
      <c r="H222" s="546">
        <f t="shared" si="33"/>
        <v>22429</v>
      </c>
      <c r="I222" s="546">
        <f t="shared" si="33"/>
        <v>54193</v>
      </c>
      <c r="J222" s="546">
        <f t="shared" si="33"/>
        <v>12000</v>
      </c>
      <c r="K222" s="440">
        <f>C222+D222+E222+F222+G222+H222+I222+J222</f>
        <v>2145000</v>
      </c>
      <c r="L222" s="441">
        <f>D222+E222+F222+G222+H222+I222+J222</f>
        <v>1339781</v>
      </c>
    </row>
    <row r="223" spans="1:12" s="547" customFormat="1" ht="20.100000000000001" hidden="1" customHeight="1" x14ac:dyDescent="0.2">
      <c r="A223" s="484" t="s">
        <v>474</v>
      </c>
      <c r="B223" s="514"/>
      <c r="C223" s="458">
        <v>0</v>
      </c>
      <c r="D223" s="453">
        <v>0</v>
      </c>
      <c r="E223" s="453">
        <v>0</v>
      </c>
      <c r="F223" s="458">
        <v>0</v>
      </c>
      <c r="G223" s="458">
        <v>0</v>
      </c>
      <c r="H223" s="458">
        <v>0</v>
      </c>
      <c r="I223" s="458">
        <v>0</v>
      </c>
      <c r="J223" s="458">
        <v>0</v>
      </c>
      <c r="K223" s="440">
        <f>C223+D223+E223+F223+G223+H223+I223+J223</f>
        <v>0</v>
      </c>
      <c r="L223" s="441">
        <f>D223+E223+F223+G223+H223+I223+J223</f>
        <v>0</v>
      </c>
    </row>
    <row r="224" spans="1:12" s="524" customFormat="1" ht="33" hidden="1" customHeight="1" x14ac:dyDescent="0.2">
      <c r="A224" s="446" t="s">
        <v>475</v>
      </c>
      <c r="B224" s="518"/>
      <c r="C224" s="463"/>
      <c r="D224" s="470"/>
      <c r="E224" s="469"/>
      <c r="F224" s="470"/>
      <c r="G224" s="470"/>
      <c r="H224" s="470"/>
      <c r="I224" s="470"/>
      <c r="J224" s="470"/>
      <c r="K224" s="440">
        <f>C224+D224+E224+F224+G224+H224+I224+J224</f>
        <v>0</v>
      </c>
      <c r="L224" s="441">
        <f>D224+E224+F224+G224+H224+I224+J224</f>
        <v>0</v>
      </c>
    </row>
    <row r="225" spans="1:12" s="548" customFormat="1" ht="20.100000000000001" customHeight="1" x14ac:dyDescent="0.2">
      <c r="A225" s="451" t="s">
        <v>476</v>
      </c>
      <c r="B225" s="505"/>
      <c r="C225" s="452">
        <f>500000+200000+50000</f>
        <v>750000</v>
      </c>
      <c r="D225" s="483"/>
      <c r="E225" s="485"/>
      <c r="F225" s="483"/>
      <c r="G225" s="483"/>
      <c r="H225" s="483"/>
      <c r="I225" s="483"/>
      <c r="J225" s="486"/>
      <c r="K225" s="440">
        <f>C225+D225+E225+F225+G225+H225+I225+J225</f>
        <v>750000</v>
      </c>
      <c r="L225" s="441">
        <f>D225+E225+F225+G225+H225+I225+J225</f>
        <v>0</v>
      </c>
    </row>
    <row r="226" spans="1:12" s="549" customFormat="1" ht="20.100000000000001" hidden="1" customHeight="1" x14ac:dyDescent="0.25">
      <c r="A226" s="446" t="s">
        <v>477</v>
      </c>
      <c r="B226" s="509"/>
      <c r="C226" s="487"/>
      <c r="D226" s="488"/>
      <c r="E226" s="488"/>
      <c r="F226" s="487"/>
      <c r="G226" s="487"/>
      <c r="H226" s="487"/>
      <c r="I226" s="487"/>
      <c r="J226" s="489"/>
      <c r="K226" s="440">
        <f>C226+D226+E226+F226+G226+H226+I226+J226</f>
        <v>0</v>
      </c>
      <c r="L226" s="441">
        <f>D226+E226+F226+G226+H226+I226+J226</f>
        <v>0</v>
      </c>
    </row>
    <row r="227" spans="1:12" s="550" customFormat="1" ht="20.100000000000001" hidden="1" customHeight="1" x14ac:dyDescent="0.2">
      <c r="A227" s="451" t="s">
        <v>478</v>
      </c>
      <c r="B227" s="541"/>
      <c r="C227" s="490">
        <v>0</v>
      </c>
      <c r="D227" s="483">
        <v>0</v>
      </c>
      <c r="E227" s="483"/>
      <c r="F227" s="483"/>
      <c r="G227" s="483"/>
      <c r="H227" s="486"/>
      <c r="I227" s="483"/>
      <c r="J227" s="486"/>
      <c r="K227" s="440">
        <f>C227+D227+E227+F227+G227+H227+I227+J227</f>
        <v>0</v>
      </c>
      <c r="L227" s="441">
        <f>D227+E227+F227+G227+H227+I227+J227</f>
        <v>0</v>
      </c>
    </row>
    <row r="228" spans="1:12" s="548" customFormat="1" ht="20.100000000000001" hidden="1" customHeight="1" x14ac:dyDescent="0.2">
      <c r="A228" s="451" t="s">
        <v>479</v>
      </c>
      <c r="B228" s="505"/>
      <c r="C228" s="452"/>
      <c r="D228" s="486"/>
      <c r="E228" s="486"/>
      <c r="F228" s="486"/>
      <c r="G228" s="486"/>
      <c r="H228" s="486"/>
      <c r="I228" s="486"/>
      <c r="J228" s="486"/>
      <c r="K228" s="440">
        <f>C228+D228+E228+F228+G228+H228+I228+J228</f>
        <v>0</v>
      </c>
      <c r="L228" s="441">
        <f>D228+E228+F228+G228+H228+I228+J228</f>
        <v>0</v>
      </c>
    </row>
    <row r="229" spans="1:12" s="524" customFormat="1" ht="20.100000000000001" hidden="1" customHeight="1" x14ac:dyDescent="0.2">
      <c r="A229" s="446" t="s">
        <v>480</v>
      </c>
      <c r="B229" s="518"/>
      <c r="C229" s="463"/>
      <c r="D229" s="470"/>
      <c r="E229" s="470"/>
      <c r="F229" s="470"/>
      <c r="G229" s="470"/>
      <c r="H229" s="470"/>
      <c r="I229" s="470"/>
      <c r="J229" s="470"/>
      <c r="K229" s="440">
        <f>C229+D229+E229+F229+G229+H229+I229+J229</f>
        <v>0</v>
      </c>
      <c r="L229" s="441">
        <f>D229+E229+F229+G229+H229+I229+J229</f>
        <v>0</v>
      </c>
    </row>
    <row r="230" spans="1:12" s="552" customFormat="1" ht="30.75" hidden="1" customHeight="1" x14ac:dyDescent="0.2">
      <c r="A230" s="451" t="s">
        <v>481</v>
      </c>
      <c r="B230" s="551"/>
      <c r="C230" s="491"/>
      <c r="D230" s="491"/>
      <c r="E230" s="491"/>
      <c r="F230" s="491"/>
      <c r="G230" s="491"/>
      <c r="H230" s="492"/>
      <c r="I230" s="491"/>
      <c r="J230" s="492"/>
      <c r="K230" s="440">
        <f>C230+D230+E230+F230+G230+H230+I230+J230</f>
        <v>0</v>
      </c>
      <c r="L230" s="441">
        <f>D230+E230+F230+G230+H230+I230+J230</f>
        <v>0</v>
      </c>
    </row>
    <row r="231" spans="1:12" s="528" customFormat="1" ht="33.75" customHeight="1" thickBot="1" x14ac:dyDescent="0.25">
      <c r="A231" s="525" t="s">
        <v>482</v>
      </c>
      <c r="B231" s="553" t="s">
        <v>15</v>
      </c>
      <c r="C231" s="554">
        <f>C228+C227+C225+C223</f>
        <v>750000</v>
      </c>
      <c r="D231" s="554">
        <f t="shared" ref="D231:J231" si="34">D228+D227+D225+D223</f>
        <v>0</v>
      </c>
      <c r="E231" s="554">
        <f t="shared" si="34"/>
        <v>0</v>
      </c>
      <c r="F231" s="554">
        <f t="shared" si="34"/>
        <v>0</v>
      </c>
      <c r="G231" s="554">
        <f t="shared" si="34"/>
        <v>0</v>
      </c>
      <c r="H231" s="554">
        <f t="shared" si="34"/>
        <v>0</v>
      </c>
      <c r="I231" s="554">
        <f t="shared" si="34"/>
        <v>0</v>
      </c>
      <c r="J231" s="554">
        <f t="shared" si="34"/>
        <v>0</v>
      </c>
      <c r="K231" s="440">
        <f>C231+D231+E231+F231+G231+H231+I231+J231</f>
        <v>750000</v>
      </c>
      <c r="L231" s="441">
        <f>D231+E231+F231+G231+H231+I231+J231</f>
        <v>0</v>
      </c>
    </row>
    <row r="232" spans="1:12" s="515" customFormat="1" ht="44.25" hidden="1" customHeight="1" x14ac:dyDescent="0.2">
      <c r="A232" s="457" t="s">
        <v>483</v>
      </c>
      <c r="B232" s="514"/>
      <c r="C232" s="458"/>
      <c r="D232" s="493"/>
      <c r="E232" s="473"/>
      <c r="F232" s="493"/>
      <c r="G232" s="493"/>
      <c r="H232" s="493"/>
      <c r="I232" s="493"/>
      <c r="J232" s="493"/>
      <c r="K232" s="440">
        <f>C232+D232+E232+F232+G232+H232+I232+J232</f>
        <v>0</v>
      </c>
      <c r="L232" s="441">
        <f>D232+E232+F232+G232+H232+I232+J232</f>
        <v>0</v>
      </c>
    </row>
    <row r="233" spans="1:12" s="550" customFormat="1" ht="37.5" hidden="1" customHeight="1" x14ac:dyDescent="0.2">
      <c r="A233" s="451" t="s">
        <v>484</v>
      </c>
      <c r="B233" s="541"/>
      <c r="C233" s="452"/>
      <c r="D233" s="486"/>
      <c r="E233" s="471"/>
      <c r="F233" s="486"/>
      <c r="G233" s="486"/>
      <c r="H233" s="486"/>
      <c r="I233" s="486"/>
      <c r="J233" s="486"/>
      <c r="K233" s="440">
        <f>C233+D233+E233+F233+G233+H233+I233+J233</f>
        <v>0</v>
      </c>
      <c r="L233" s="441">
        <f>D233+E233+F233+G233+H233+I233+J233</f>
        <v>0</v>
      </c>
    </row>
    <row r="234" spans="1:12" s="550" customFormat="1" ht="45" hidden="1" customHeight="1" x14ac:dyDescent="0.2">
      <c r="A234" s="451" t="s">
        <v>485</v>
      </c>
      <c r="B234" s="541"/>
      <c r="C234" s="452"/>
      <c r="D234" s="486"/>
      <c r="E234" s="471"/>
      <c r="F234" s="486"/>
      <c r="G234" s="486"/>
      <c r="H234" s="486"/>
      <c r="I234" s="486"/>
      <c r="J234" s="486"/>
      <c r="K234" s="440">
        <f>C234+D234+E234+F234+G234+H234+I234+J234</f>
        <v>0</v>
      </c>
      <c r="L234" s="441">
        <f>D234+E234+F234+G234+H234+I234+J234</f>
        <v>0</v>
      </c>
    </row>
    <row r="235" spans="1:12" s="517" customFormat="1" ht="43.5" customHeight="1" x14ac:dyDescent="0.2">
      <c r="A235" s="449" t="s">
        <v>486</v>
      </c>
      <c r="B235" s="516"/>
      <c r="C235" s="467">
        <f>SUM(C236:C244)</f>
        <v>0</v>
      </c>
      <c r="D235" s="467">
        <f t="shared" ref="D235:J235" si="35">SUM(D236:D244)</f>
        <v>0</v>
      </c>
      <c r="E235" s="467">
        <f t="shared" si="35"/>
        <v>0</v>
      </c>
      <c r="F235" s="467">
        <f t="shared" si="35"/>
        <v>0</v>
      </c>
      <c r="G235" s="467">
        <f t="shared" si="35"/>
        <v>0</v>
      </c>
      <c r="H235" s="467">
        <f t="shared" si="35"/>
        <v>0</v>
      </c>
      <c r="I235" s="467">
        <f t="shared" si="35"/>
        <v>0</v>
      </c>
      <c r="J235" s="467">
        <f t="shared" si="35"/>
        <v>0</v>
      </c>
      <c r="K235" s="440">
        <f>C235+D235+E235+F235+G235+H235+I235+J235</f>
        <v>0</v>
      </c>
      <c r="L235" s="441">
        <f>D235+E235+F235+G235+H235+I235+J235</f>
        <v>0</v>
      </c>
    </row>
    <row r="236" spans="1:12" s="529" customFormat="1" ht="20.100000000000001" hidden="1" customHeight="1" x14ac:dyDescent="0.2">
      <c r="A236" s="446" t="s">
        <v>487</v>
      </c>
      <c r="B236" s="518"/>
      <c r="C236" s="463"/>
      <c r="D236" s="470"/>
      <c r="E236" s="468"/>
      <c r="F236" s="470"/>
      <c r="G236" s="470"/>
      <c r="H236" s="470"/>
      <c r="I236" s="470"/>
      <c r="J236" s="470"/>
      <c r="K236" s="440">
        <f>C236+D236+E236+F236+G236+H236+I236+J236</f>
        <v>0</v>
      </c>
      <c r="L236" s="441">
        <f>D236+E236+F236+G236+H236+I236+J236</f>
        <v>0</v>
      </c>
    </row>
    <row r="237" spans="1:12" s="521" customFormat="1" ht="20.100000000000001" hidden="1" customHeight="1" x14ac:dyDescent="0.2">
      <c r="A237" s="446" t="s">
        <v>488</v>
      </c>
      <c r="B237" s="509"/>
      <c r="C237" s="463"/>
      <c r="D237" s="464"/>
      <c r="E237" s="357"/>
      <c r="F237" s="464"/>
      <c r="G237" s="464"/>
      <c r="H237" s="464"/>
      <c r="I237" s="464"/>
      <c r="J237" s="464"/>
      <c r="K237" s="440">
        <f>C237+D237+E237+F237+G237+H237+I237+J237</f>
        <v>0</v>
      </c>
      <c r="L237" s="441">
        <f>D237+E237+F237+G237+H237+I237+J237</f>
        <v>0</v>
      </c>
    </row>
    <row r="238" spans="1:12" s="521" customFormat="1" ht="20.100000000000001" hidden="1" customHeight="1" x14ac:dyDescent="0.2">
      <c r="A238" s="446" t="s">
        <v>489</v>
      </c>
      <c r="B238" s="509"/>
      <c r="C238" s="463"/>
      <c r="D238" s="464"/>
      <c r="E238" s="357"/>
      <c r="F238" s="464"/>
      <c r="G238" s="464"/>
      <c r="H238" s="464"/>
      <c r="I238" s="464"/>
      <c r="J238" s="464"/>
      <c r="K238" s="440">
        <f>C238+D238+E238+F238+G238+H238+I238+J238</f>
        <v>0</v>
      </c>
      <c r="L238" s="441">
        <f>D238+E238+F238+G238+H238+I238+J238</f>
        <v>0</v>
      </c>
    </row>
    <row r="239" spans="1:12" s="521" customFormat="1" ht="20.100000000000001" hidden="1" customHeight="1" x14ac:dyDescent="0.2">
      <c r="A239" s="446" t="s">
        <v>490</v>
      </c>
      <c r="B239" s="509"/>
      <c r="C239" s="357"/>
      <c r="D239" s="357"/>
      <c r="E239" s="357"/>
      <c r="F239" s="464"/>
      <c r="G239" s="464"/>
      <c r="H239" s="464"/>
      <c r="I239" s="464"/>
      <c r="J239" s="464"/>
      <c r="K239" s="440">
        <f>C239+D239+E239+F239+G239+H239+I239+J239</f>
        <v>0</v>
      </c>
      <c r="L239" s="441">
        <f>D239+E239+F239+G239+H239+I239+J239</f>
        <v>0</v>
      </c>
    </row>
    <row r="240" spans="1:12" s="521" customFormat="1" ht="20.100000000000001" hidden="1" customHeight="1" x14ac:dyDescent="0.2">
      <c r="A240" s="446" t="s">
        <v>491</v>
      </c>
      <c r="B240" s="509"/>
      <c r="C240" s="463"/>
      <c r="D240" s="464"/>
      <c r="E240" s="464"/>
      <c r="F240" s="464"/>
      <c r="G240" s="464"/>
      <c r="H240" s="464"/>
      <c r="I240" s="464"/>
      <c r="J240" s="464"/>
      <c r="K240" s="440">
        <f>C240+D240+E240+F240+G240+H240+I240+J240</f>
        <v>0</v>
      </c>
      <c r="L240" s="441">
        <f>D240+E240+F240+G240+H240+I240+J240</f>
        <v>0</v>
      </c>
    </row>
    <row r="241" spans="1:12" s="521" customFormat="1" ht="30.75" hidden="1" customHeight="1" x14ac:dyDescent="0.2">
      <c r="A241" s="446" t="s">
        <v>492</v>
      </c>
      <c r="B241" s="509"/>
      <c r="C241" s="463"/>
      <c r="D241" s="464"/>
      <c r="E241" s="464"/>
      <c r="F241" s="464"/>
      <c r="G241" s="464"/>
      <c r="H241" s="464"/>
      <c r="I241" s="464"/>
      <c r="J241" s="464"/>
      <c r="K241" s="440">
        <f>C241+D241+E241+F241+G241+H241+I241+J241</f>
        <v>0</v>
      </c>
      <c r="L241" s="441">
        <f>D241+E241+F241+G241+H241+I241+J241</f>
        <v>0</v>
      </c>
    </row>
    <row r="242" spans="1:12" s="521" customFormat="1" ht="29.25" hidden="1" customHeight="1" x14ac:dyDescent="0.2">
      <c r="A242" s="446" t="s">
        <v>493</v>
      </c>
      <c r="B242" s="509"/>
      <c r="C242" s="463"/>
      <c r="D242" s="464"/>
      <c r="E242" s="464"/>
      <c r="F242" s="464"/>
      <c r="G242" s="464"/>
      <c r="H242" s="464"/>
      <c r="I242" s="464"/>
      <c r="J242" s="464"/>
      <c r="K242" s="440">
        <f>C242+D242+E242+F242+G242+H242+I242+J242</f>
        <v>0</v>
      </c>
      <c r="L242" s="441">
        <f>D242+E242+F242+G242+H242+I242+J242</f>
        <v>0</v>
      </c>
    </row>
    <row r="243" spans="1:12" s="521" customFormat="1" ht="20.100000000000001" hidden="1" customHeight="1" x14ac:dyDescent="0.2">
      <c r="A243" s="446" t="s">
        <v>494</v>
      </c>
      <c r="B243" s="509"/>
      <c r="C243" s="463"/>
      <c r="D243" s="464"/>
      <c r="E243" s="464"/>
      <c r="F243" s="464"/>
      <c r="G243" s="464"/>
      <c r="H243" s="464"/>
      <c r="I243" s="464"/>
      <c r="J243" s="464"/>
      <c r="K243" s="440">
        <f>C243+D243+E243+F243+G243+H243+I243+J243</f>
        <v>0</v>
      </c>
      <c r="L243" s="441">
        <f>D243+E243+F243+G243+H243+I243+J243</f>
        <v>0</v>
      </c>
    </row>
    <row r="244" spans="1:12" s="521" customFormat="1" ht="20.100000000000001" hidden="1" customHeight="1" x14ac:dyDescent="0.2">
      <c r="A244" s="446" t="s">
        <v>495</v>
      </c>
      <c r="B244" s="509"/>
      <c r="C244" s="463"/>
      <c r="D244" s="464"/>
      <c r="E244" s="464"/>
      <c r="F244" s="464"/>
      <c r="G244" s="464"/>
      <c r="H244" s="464"/>
      <c r="I244" s="464"/>
      <c r="J244" s="464"/>
      <c r="K244" s="440">
        <f>C244+D244+E244+F244+G244+H244+I244+J244</f>
        <v>0</v>
      </c>
      <c r="L244" s="441">
        <f>D244+E244+F244+G244+H244+I244+J244</f>
        <v>0</v>
      </c>
    </row>
    <row r="245" spans="1:12" s="517" customFormat="1" ht="27.75" customHeight="1" x14ac:dyDescent="0.2">
      <c r="A245" s="449" t="s">
        <v>496</v>
      </c>
      <c r="B245" s="516"/>
      <c r="C245" s="494">
        <f>SUM(C246:C256)</f>
        <v>0</v>
      </c>
      <c r="D245" s="494">
        <f t="shared" ref="D245:J245" si="36">SUM(D246:D256)</f>
        <v>0</v>
      </c>
      <c r="E245" s="494">
        <f t="shared" si="36"/>
        <v>0</v>
      </c>
      <c r="F245" s="494">
        <f t="shared" si="36"/>
        <v>0</v>
      </c>
      <c r="G245" s="494">
        <f t="shared" si="36"/>
        <v>0</v>
      </c>
      <c r="H245" s="494">
        <f t="shared" si="36"/>
        <v>0</v>
      </c>
      <c r="I245" s="494">
        <f t="shared" si="36"/>
        <v>0</v>
      </c>
      <c r="J245" s="494">
        <f t="shared" si="36"/>
        <v>0</v>
      </c>
      <c r="K245" s="440">
        <f>C245+D245+E245+F245+G245+H245+I245+J245</f>
        <v>0</v>
      </c>
      <c r="L245" s="441">
        <f>D245+E245+F245+G245+H245+I245+J245</f>
        <v>0</v>
      </c>
    </row>
    <row r="246" spans="1:12" s="524" customFormat="1" ht="20.100000000000001" hidden="1" customHeight="1" x14ac:dyDescent="0.2">
      <c r="A246" s="446" t="s">
        <v>497</v>
      </c>
      <c r="B246" s="518"/>
      <c r="C246" s="454"/>
      <c r="D246" s="455"/>
      <c r="E246" s="455"/>
      <c r="F246" s="455"/>
      <c r="G246" s="455"/>
      <c r="H246" s="455"/>
      <c r="I246" s="455"/>
      <c r="J246" s="455"/>
      <c r="K246" s="440">
        <f>C246+D246+E246+F246+G246+H246+I246+J246</f>
        <v>0</v>
      </c>
      <c r="L246" s="441">
        <f>D246+E246+F246+G246+H246+I246+J246</f>
        <v>0</v>
      </c>
    </row>
    <row r="247" spans="1:12" s="510" customFormat="1" ht="20.100000000000001" hidden="1" customHeight="1" x14ac:dyDescent="0.2">
      <c r="A247" s="446" t="s">
        <v>498</v>
      </c>
      <c r="B247" s="509"/>
      <c r="C247" s="454"/>
      <c r="D247" s="456"/>
      <c r="E247" s="456"/>
      <c r="F247" s="456"/>
      <c r="G247" s="456"/>
      <c r="H247" s="456"/>
      <c r="I247" s="456"/>
      <c r="J247" s="456"/>
      <c r="K247" s="440">
        <f>C247+D247+E247+F247+G247+H247+I247+J247</f>
        <v>0</v>
      </c>
      <c r="L247" s="441">
        <f>D247+E247+F247+G247+H247+I247+J247</f>
        <v>0</v>
      </c>
    </row>
    <row r="248" spans="1:12" s="510" customFormat="1" ht="20.100000000000001" hidden="1" customHeight="1" x14ac:dyDescent="0.2">
      <c r="A248" s="446" t="s">
        <v>499</v>
      </c>
      <c r="B248" s="509"/>
      <c r="C248" s="454">
        <v>0</v>
      </c>
      <c r="D248" s="456"/>
      <c r="E248" s="456"/>
      <c r="F248" s="456"/>
      <c r="G248" s="456"/>
      <c r="H248" s="456"/>
      <c r="I248" s="456"/>
      <c r="J248" s="456"/>
      <c r="K248" s="440">
        <f>C248+D248+E248+F248+G248+H248+I248+J248</f>
        <v>0</v>
      </c>
      <c r="L248" s="441">
        <f>D248+E248+F248+G248+H248+I248+J248</f>
        <v>0</v>
      </c>
    </row>
    <row r="249" spans="1:12" s="510" customFormat="1" ht="20.100000000000001" hidden="1" customHeight="1" x14ac:dyDescent="0.2">
      <c r="A249" s="446" t="s">
        <v>500</v>
      </c>
      <c r="B249" s="509"/>
      <c r="C249" s="357"/>
      <c r="D249" s="466"/>
      <c r="E249" s="466"/>
      <c r="F249" s="456"/>
      <c r="G249" s="456"/>
      <c r="H249" s="456"/>
      <c r="I249" s="456"/>
      <c r="J249" s="456"/>
      <c r="K249" s="440">
        <f>C249+D249+E249+F249+G249+H249+I249+J249</f>
        <v>0</v>
      </c>
      <c r="L249" s="441">
        <f>D249+E249+F249+G249+H249+I249+J249</f>
        <v>0</v>
      </c>
    </row>
    <row r="250" spans="1:12" s="510" customFormat="1" ht="20.100000000000001" hidden="1" customHeight="1" x14ac:dyDescent="0.2">
      <c r="A250" s="446" t="s">
        <v>501</v>
      </c>
      <c r="B250" s="509"/>
      <c r="C250" s="454"/>
      <c r="D250" s="456"/>
      <c r="E250" s="456"/>
      <c r="F250" s="456"/>
      <c r="G250" s="456"/>
      <c r="H250" s="456"/>
      <c r="I250" s="456"/>
      <c r="J250" s="456"/>
      <c r="K250" s="440">
        <f>C250+D250+E250+F250+G250+H250+I250+J250</f>
        <v>0</v>
      </c>
      <c r="L250" s="441">
        <f>D250+E250+F250+G250+H250+I250+J250</f>
        <v>0</v>
      </c>
    </row>
    <row r="251" spans="1:12" s="510" customFormat="1" ht="30.75" hidden="1" customHeight="1" x14ac:dyDescent="0.2">
      <c r="A251" s="446" t="s">
        <v>502</v>
      </c>
      <c r="B251" s="509"/>
      <c r="C251" s="454"/>
      <c r="D251" s="456"/>
      <c r="E251" s="456"/>
      <c r="F251" s="456"/>
      <c r="G251" s="456"/>
      <c r="H251" s="456"/>
      <c r="I251" s="456"/>
      <c r="J251" s="456"/>
      <c r="K251" s="440">
        <f>C251+D251+E251+F251+G251+H251+I251+J251</f>
        <v>0</v>
      </c>
      <c r="L251" s="441">
        <f>D251+E251+F251+G251+H251+I251+J251</f>
        <v>0</v>
      </c>
    </row>
    <row r="252" spans="1:12" s="510" customFormat="1" ht="30.75" hidden="1" customHeight="1" x14ac:dyDescent="0.2">
      <c r="A252" s="446" t="s">
        <v>503</v>
      </c>
      <c r="B252" s="509"/>
      <c r="C252" s="454"/>
      <c r="D252" s="456"/>
      <c r="E252" s="456"/>
      <c r="F252" s="456"/>
      <c r="G252" s="456"/>
      <c r="H252" s="456"/>
      <c r="I252" s="456"/>
      <c r="J252" s="456"/>
      <c r="K252" s="440">
        <f>C252+D252+E252+F252+G252+H252+I252+J252</f>
        <v>0</v>
      </c>
      <c r="L252" s="441">
        <f>D252+E252+F252+G252+H252+I252+J252</f>
        <v>0</v>
      </c>
    </row>
    <row r="253" spans="1:12" s="510" customFormat="1" ht="20.100000000000001" customHeight="1" x14ac:dyDescent="0.2">
      <c r="A253" s="446" t="s">
        <v>504</v>
      </c>
      <c r="B253" s="509"/>
      <c r="C253" s="495"/>
      <c r="D253" s="456"/>
      <c r="E253" s="456"/>
      <c r="F253" s="456"/>
      <c r="G253" s="456"/>
      <c r="H253" s="456"/>
      <c r="I253" s="456"/>
      <c r="J253" s="456"/>
      <c r="K253" s="440">
        <f>C253+D253+E253+F253+G253+H253+I253+J253</f>
        <v>0</v>
      </c>
      <c r="L253" s="441">
        <f>D253+E253+F253+G253+H253+I253+J253</f>
        <v>0</v>
      </c>
    </row>
    <row r="254" spans="1:12" s="510" customFormat="1" ht="20.100000000000001" hidden="1" customHeight="1" x14ac:dyDescent="0.2">
      <c r="A254" s="446" t="s">
        <v>505</v>
      </c>
      <c r="B254" s="509"/>
      <c r="C254" s="454"/>
      <c r="D254" s="456"/>
      <c r="E254" s="456"/>
      <c r="F254" s="456"/>
      <c r="G254" s="456"/>
      <c r="H254" s="456"/>
      <c r="I254" s="456"/>
      <c r="J254" s="456"/>
      <c r="K254" s="440">
        <f>C254+D254+E254+F254+G254+H254+I254+J254</f>
        <v>0</v>
      </c>
      <c r="L254" s="441">
        <f>D254+E254+F254+G254+H254+I254+J254</f>
        <v>0</v>
      </c>
    </row>
    <row r="255" spans="1:12" s="524" customFormat="1" ht="20.100000000000001" hidden="1" customHeight="1" x14ac:dyDescent="0.2">
      <c r="A255" s="446" t="s">
        <v>506</v>
      </c>
      <c r="B255" s="518"/>
      <c r="C255" s="454"/>
      <c r="D255" s="455"/>
      <c r="E255" s="455"/>
      <c r="F255" s="455"/>
      <c r="G255" s="455"/>
      <c r="H255" s="455"/>
      <c r="I255" s="455"/>
      <c r="J255" s="455"/>
      <c r="K255" s="440">
        <f>C255+D255+E255+F255+G255+H255+I255+J255</f>
        <v>0</v>
      </c>
      <c r="L255" s="441">
        <f>D255+E255+F255+G255+H255+I255+J255</f>
        <v>0</v>
      </c>
    </row>
    <row r="256" spans="1:12" s="531" customFormat="1" ht="20.100000000000001" hidden="1" customHeight="1" x14ac:dyDescent="0.2">
      <c r="A256" s="446" t="s">
        <v>507</v>
      </c>
      <c r="B256" s="530"/>
      <c r="C256" s="454"/>
      <c r="D256" s="460"/>
      <c r="E256" s="460"/>
      <c r="F256" s="460"/>
      <c r="G256" s="460"/>
      <c r="H256" s="460"/>
      <c r="I256" s="460"/>
      <c r="J256" s="460"/>
      <c r="K256" s="440">
        <f>C256+D256+E256+F256+G256+H256+I256+J256</f>
        <v>0</v>
      </c>
      <c r="L256" s="441">
        <f>D256+E256+F256+G256+H256+I256+J256</f>
        <v>0</v>
      </c>
    </row>
    <row r="257" spans="1:12" s="556" customFormat="1" ht="36" customHeight="1" thickBot="1" x14ac:dyDescent="0.3">
      <c r="A257" s="525" t="s">
        <v>508</v>
      </c>
      <c r="B257" s="555" t="s">
        <v>17</v>
      </c>
      <c r="C257" s="554">
        <f>C245+C235+C234+C233+C232</f>
        <v>0</v>
      </c>
      <c r="D257" s="554">
        <f t="shared" ref="D257:J257" si="37">D245+D235+D234+D233+D232</f>
        <v>0</v>
      </c>
      <c r="E257" s="554">
        <f t="shared" si="37"/>
        <v>0</v>
      </c>
      <c r="F257" s="554">
        <f t="shared" si="37"/>
        <v>0</v>
      </c>
      <c r="G257" s="554">
        <f t="shared" si="37"/>
        <v>0</v>
      </c>
      <c r="H257" s="554">
        <f t="shared" si="37"/>
        <v>0</v>
      </c>
      <c r="I257" s="554">
        <f t="shared" si="37"/>
        <v>0</v>
      </c>
      <c r="J257" s="554">
        <f t="shared" si="37"/>
        <v>0</v>
      </c>
      <c r="K257" s="440">
        <f>C257+D257+E257+F257+G257+H257+I257+J257</f>
        <v>0</v>
      </c>
      <c r="L257" s="441">
        <f>D257+E257+F257+G257+H257+I257+J257</f>
        <v>0</v>
      </c>
    </row>
    <row r="258" spans="1:12" s="515" customFormat="1" ht="44.25" hidden="1" customHeight="1" x14ac:dyDescent="0.2">
      <c r="A258" s="457" t="s">
        <v>509</v>
      </c>
      <c r="B258" s="514"/>
      <c r="C258" s="458"/>
      <c r="D258" s="453"/>
      <c r="E258" s="453"/>
      <c r="F258" s="453"/>
      <c r="G258" s="453"/>
      <c r="H258" s="493"/>
      <c r="I258" s="453"/>
      <c r="J258" s="493"/>
      <c r="K258" s="440">
        <f>C258+D258+E258+F258+G258+H258+I258+J258</f>
        <v>0</v>
      </c>
      <c r="L258" s="441">
        <f>D258+E258+F258+G258+H258+I258+J258</f>
        <v>0</v>
      </c>
    </row>
    <row r="259" spans="1:12" s="550" customFormat="1" ht="38.25" hidden="1" customHeight="1" x14ac:dyDescent="0.2">
      <c r="A259" s="451" t="s">
        <v>510</v>
      </c>
      <c r="B259" s="541"/>
      <c r="C259" s="452"/>
      <c r="D259" s="483"/>
      <c r="E259" s="483"/>
      <c r="F259" s="483"/>
      <c r="G259" s="483"/>
      <c r="H259" s="486"/>
      <c r="I259" s="483"/>
      <c r="J259" s="486"/>
      <c r="K259" s="440">
        <f>C259+D259+E259+F259+G259+H259+I259+J259</f>
        <v>0</v>
      </c>
      <c r="L259" s="441">
        <f>D259+E259+F259+G259+H259+I259+J259</f>
        <v>0</v>
      </c>
    </row>
    <row r="260" spans="1:12" s="550" customFormat="1" ht="43.5" hidden="1" customHeight="1" x14ac:dyDescent="0.2">
      <c r="A260" s="451" t="s">
        <v>511</v>
      </c>
      <c r="B260" s="541"/>
      <c r="C260" s="452"/>
      <c r="D260" s="483"/>
      <c r="E260" s="483"/>
      <c r="F260" s="483"/>
      <c r="G260" s="483"/>
      <c r="H260" s="486"/>
      <c r="I260" s="483"/>
      <c r="J260" s="486"/>
      <c r="K260" s="440">
        <f>C260+D260+E260+F260+G260+H260+I260+J260</f>
        <v>0</v>
      </c>
      <c r="L260" s="441">
        <f>D260+E260+F260+G260+H260+I260+J260</f>
        <v>0</v>
      </c>
    </row>
    <row r="261" spans="1:12" s="517" customFormat="1" ht="44.25" customHeight="1" x14ac:dyDescent="0.2">
      <c r="A261" s="449" t="s">
        <v>512</v>
      </c>
      <c r="B261" s="516"/>
      <c r="C261" s="467">
        <f>SUM(C262:C270)</f>
        <v>9000</v>
      </c>
      <c r="D261" s="467">
        <f t="shared" ref="D261:J261" si="38">SUM(D262:D270)</f>
        <v>0</v>
      </c>
      <c r="E261" s="467">
        <f t="shared" si="38"/>
        <v>0</v>
      </c>
      <c r="F261" s="467">
        <f t="shared" si="38"/>
        <v>0</v>
      </c>
      <c r="G261" s="467">
        <f t="shared" si="38"/>
        <v>0</v>
      </c>
      <c r="H261" s="467">
        <f t="shared" si="38"/>
        <v>0</v>
      </c>
      <c r="I261" s="467">
        <f t="shared" si="38"/>
        <v>0</v>
      </c>
      <c r="J261" s="467">
        <f t="shared" si="38"/>
        <v>0</v>
      </c>
      <c r="K261" s="440">
        <f>C261+D261+E261+F261+G261+H261+I261+J261</f>
        <v>9000</v>
      </c>
      <c r="L261" s="441">
        <f>D261+E261+F261+G261+H261+I261+J261</f>
        <v>0</v>
      </c>
    </row>
    <row r="262" spans="1:12" s="529" customFormat="1" ht="20.100000000000001" hidden="1" customHeight="1" x14ac:dyDescent="0.2">
      <c r="A262" s="446" t="s">
        <v>513</v>
      </c>
      <c r="B262" s="518"/>
      <c r="C262" s="463"/>
      <c r="D262" s="470"/>
      <c r="E262" s="470"/>
      <c r="F262" s="470"/>
      <c r="G262" s="470"/>
      <c r="H262" s="470"/>
      <c r="I262" s="470"/>
      <c r="J262" s="470"/>
      <c r="K262" s="440">
        <f>C262+D262+E262+F262+G262+H262+I262+J262</f>
        <v>0</v>
      </c>
      <c r="L262" s="441">
        <f>D262+E262+F262+G262+H262+I262+J262</f>
        <v>0</v>
      </c>
    </row>
    <row r="263" spans="1:12" s="521" customFormat="1" ht="20.100000000000001" hidden="1" customHeight="1" x14ac:dyDescent="0.2">
      <c r="A263" s="446" t="s">
        <v>514</v>
      </c>
      <c r="B263" s="509"/>
      <c r="C263" s="463"/>
      <c r="D263" s="464"/>
      <c r="E263" s="464"/>
      <c r="F263" s="464"/>
      <c r="G263" s="464"/>
      <c r="H263" s="464"/>
      <c r="I263" s="464"/>
      <c r="J263" s="464"/>
      <c r="K263" s="440">
        <f>C263+D263+E263+F263+G263+H263+I263+J263</f>
        <v>0</v>
      </c>
      <c r="L263" s="441">
        <f>D263+E263+F263+G263+H263+I263+J263</f>
        <v>0</v>
      </c>
    </row>
    <row r="264" spans="1:12" s="521" customFormat="1" ht="20.100000000000001" hidden="1" customHeight="1" x14ac:dyDescent="0.2">
      <c r="A264" s="446" t="s">
        <v>515</v>
      </c>
      <c r="B264" s="509"/>
      <c r="C264" s="463"/>
      <c r="D264" s="464"/>
      <c r="E264" s="464"/>
      <c r="F264" s="464"/>
      <c r="G264" s="464"/>
      <c r="H264" s="464"/>
      <c r="I264" s="464"/>
      <c r="J264" s="464"/>
      <c r="K264" s="440">
        <f>C264+D264+E264+F264+G264+H264+I264+J264</f>
        <v>0</v>
      </c>
      <c r="L264" s="441">
        <f>D264+E264+F264+G264+H264+I264+J264</f>
        <v>0</v>
      </c>
    </row>
    <row r="265" spans="1:12" s="521" customFormat="1" ht="20.100000000000001" customHeight="1" x14ac:dyDescent="0.2">
      <c r="A265" s="446" t="s">
        <v>516</v>
      </c>
      <c r="B265" s="509"/>
      <c r="C265" s="463">
        <v>9000</v>
      </c>
      <c r="D265" s="357"/>
      <c r="E265" s="464"/>
      <c r="F265" s="464"/>
      <c r="G265" s="464"/>
      <c r="H265" s="464"/>
      <c r="I265" s="464"/>
      <c r="J265" s="464"/>
      <c r="K265" s="440">
        <f>C265+D265+E265+F265+G265+H265+I265+J265</f>
        <v>9000</v>
      </c>
      <c r="L265" s="441">
        <f>D265+E265+F265+G265+H265+I265+J265</f>
        <v>0</v>
      </c>
    </row>
    <row r="266" spans="1:12" s="521" customFormat="1" ht="20.100000000000001" hidden="1" customHeight="1" x14ac:dyDescent="0.2">
      <c r="A266" s="446" t="s">
        <v>517</v>
      </c>
      <c r="B266" s="509"/>
      <c r="C266" s="463"/>
      <c r="D266" s="464"/>
      <c r="E266" s="464"/>
      <c r="F266" s="464"/>
      <c r="G266" s="464"/>
      <c r="H266" s="464"/>
      <c r="I266" s="464"/>
      <c r="J266" s="464"/>
      <c r="K266" s="440">
        <f>C266+D266+E266+F266+G266+H266+I266+J266</f>
        <v>0</v>
      </c>
      <c r="L266" s="441">
        <f>D266+E266+F266+G266+H266+I266+J266</f>
        <v>0</v>
      </c>
    </row>
    <row r="267" spans="1:12" s="521" customFormat="1" ht="28.5" hidden="1" customHeight="1" x14ac:dyDescent="0.2">
      <c r="A267" s="446" t="s">
        <v>518</v>
      </c>
      <c r="B267" s="509"/>
      <c r="C267" s="452"/>
      <c r="D267" s="464"/>
      <c r="E267" s="464"/>
      <c r="F267" s="464"/>
      <c r="G267" s="464"/>
      <c r="H267" s="464"/>
      <c r="I267" s="464"/>
      <c r="J267" s="464"/>
      <c r="K267" s="440">
        <f>C267+D267+E267+F267+G267+H267+I267+J267</f>
        <v>0</v>
      </c>
      <c r="L267" s="441">
        <f>D267+E267+F267+G267+H267+I267+J267</f>
        <v>0</v>
      </c>
    </row>
    <row r="268" spans="1:12" s="521" customFormat="1" ht="28.5" hidden="1" customHeight="1" x14ac:dyDescent="0.2">
      <c r="A268" s="446" t="s">
        <v>519</v>
      </c>
      <c r="B268" s="509"/>
      <c r="C268" s="454"/>
      <c r="D268" s="464"/>
      <c r="E268" s="464"/>
      <c r="F268" s="464"/>
      <c r="G268" s="464"/>
      <c r="H268" s="464"/>
      <c r="I268" s="464"/>
      <c r="J268" s="464"/>
      <c r="K268" s="440">
        <f>C268+D268+E268+F268+G268+H268+I268+J268</f>
        <v>0</v>
      </c>
      <c r="L268" s="441">
        <f>D268+E268+F268+G268+H268+I268+J268</f>
        <v>0</v>
      </c>
    </row>
    <row r="269" spans="1:12" s="521" customFormat="1" ht="20.100000000000001" hidden="1" customHeight="1" x14ac:dyDescent="0.2">
      <c r="A269" s="446" t="s">
        <v>520</v>
      </c>
      <c r="B269" s="509"/>
      <c r="C269" s="454"/>
      <c r="D269" s="464"/>
      <c r="E269" s="464"/>
      <c r="F269" s="464"/>
      <c r="G269" s="464"/>
      <c r="H269" s="464"/>
      <c r="I269" s="464"/>
      <c r="J269" s="464"/>
      <c r="K269" s="440">
        <f>C269+D269+E269+F269+G269+H269+I269+J269</f>
        <v>0</v>
      </c>
      <c r="L269" s="441">
        <f>D269+E269+F269+G269+H269+I269+J269</f>
        <v>0</v>
      </c>
    </row>
    <row r="270" spans="1:12" s="521" customFormat="1" ht="20.100000000000001" hidden="1" customHeight="1" x14ac:dyDescent="0.2">
      <c r="A270" s="446" t="s">
        <v>521</v>
      </c>
      <c r="B270" s="509"/>
      <c r="C270" s="454"/>
      <c r="D270" s="464"/>
      <c r="E270" s="464"/>
      <c r="F270" s="464"/>
      <c r="G270" s="464"/>
      <c r="H270" s="464"/>
      <c r="I270" s="464"/>
      <c r="J270" s="464"/>
      <c r="K270" s="440">
        <f>C270+D270+E270+F270+G270+H270+I270+J270</f>
        <v>0</v>
      </c>
      <c r="L270" s="441">
        <f>D270+E270+F270+G270+H270+I270+J270</f>
        <v>0</v>
      </c>
    </row>
    <row r="271" spans="1:12" s="517" customFormat="1" ht="27" customHeight="1" x14ac:dyDescent="0.2">
      <c r="A271" s="449" t="s">
        <v>522</v>
      </c>
      <c r="B271" s="516"/>
      <c r="C271" s="494">
        <f>SUM(C272:C282)</f>
        <v>0</v>
      </c>
      <c r="D271" s="494">
        <f t="shared" ref="D271:J271" si="39">SUM(D272:D282)</f>
        <v>0</v>
      </c>
      <c r="E271" s="494">
        <f t="shared" si="39"/>
        <v>0</v>
      </c>
      <c r="F271" s="494">
        <f t="shared" si="39"/>
        <v>0</v>
      </c>
      <c r="G271" s="494">
        <f t="shared" si="39"/>
        <v>0</v>
      </c>
      <c r="H271" s="494">
        <f t="shared" si="39"/>
        <v>0</v>
      </c>
      <c r="I271" s="494">
        <f t="shared" si="39"/>
        <v>0</v>
      </c>
      <c r="J271" s="494">
        <f t="shared" si="39"/>
        <v>0</v>
      </c>
      <c r="K271" s="440">
        <f>C271+D271+E271+F271+G271+H271+I271+J271</f>
        <v>0</v>
      </c>
      <c r="L271" s="441">
        <f>D271+E271+F271+G271+H271+I271+J271</f>
        <v>0</v>
      </c>
    </row>
    <row r="272" spans="1:12" s="529" customFormat="1" ht="20.100000000000001" hidden="1" customHeight="1" x14ac:dyDescent="0.2">
      <c r="A272" s="446" t="s">
        <v>523</v>
      </c>
      <c r="B272" s="518"/>
      <c r="C272" s="454"/>
      <c r="D272" s="455"/>
      <c r="E272" s="455"/>
      <c r="F272" s="455"/>
      <c r="G272" s="455"/>
      <c r="H272" s="455"/>
      <c r="I272" s="455"/>
      <c r="J272" s="455"/>
      <c r="K272" s="440">
        <f>C272+D272+E272+F272+G272+H272+I272+J272</f>
        <v>0</v>
      </c>
      <c r="L272" s="441">
        <f>D272+E272+F272+G272+H272+I272+J272</f>
        <v>0</v>
      </c>
    </row>
    <row r="273" spans="1:12" s="521" customFormat="1" ht="20.100000000000001" hidden="1" customHeight="1" x14ac:dyDescent="0.2">
      <c r="A273" s="446" t="s">
        <v>524</v>
      </c>
      <c r="B273" s="509"/>
      <c r="C273" s="454"/>
      <c r="D273" s="456"/>
      <c r="E273" s="456"/>
      <c r="F273" s="456"/>
      <c r="G273" s="456"/>
      <c r="H273" s="456"/>
      <c r="I273" s="456"/>
      <c r="J273" s="456"/>
      <c r="K273" s="440">
        <f>C273+D273+E273+F273+G273+H273+I273+J273</f>
        <v>0</v>
      </c>
      <c r="L273" s="441">
        <f>D273+E273+F273+G273+H273+I273+J273</f>
        <v>0</v>
      </c>
    </row>
    <row r="274" spans="1:12" s="521" customFormat="1" ht="20.100000000000001" customHeight="1" x14ac:dyDescent="0.2">
      <c r="A274" s="446" t="s">
        <v>525</v>
      </c>
      <c r="B274" s="509"/>
      <c r="C274" s="454"/>
      <c r="D274" s="456"/>
      <c r="E274" s="456"/>
      <c r="F274" s="456"/>
      <c r="G274" s="456"/>
      <c r="H274" s="456"/>
      <c r="I274" s="456"/>
      <c r="J274" s="456"/>
      <c r="K274" s="440">
        <f>C274+D274+E274+F274+G274+H274+I274+J274</f>
        <v>0</v>
      </c>
      <c r="L274" s="441">
        <f>D274+E274+F274+G274+H274+I274+J274</f>
        <v>0</v>
      </c>
    </row>
    <row r="275" spans="1:12" s="521" customFormat="1" ht="20.100000000000001" hidden="1" customHeight="1" x14ac:dyDescent="0.2">
      <c r="A275" s="446" t="s">
        <v>526</v>
      </c>
      <c r="B275" s="509"/>
      <c r="C275" s="454"/>
      <c r="D275" s="357"/>
      <c r="E275" s="357"/>
      <c r="F275" s="456"/>
      <c r="G275" s="456"/>
      <c r="H275" s="456"/>
      <c r="I275" s="456"/>
      <c r="J275" s="456"/>
      <c r="K275" s="440">
        <f>C275+D275+E275+F275+G275+H275+I275+J275</f>
        <v>0</v>
      </c>
      <c r="L275" s="441">
        <f>D275+E275+F275+G275+H275+I275+J275</f>
        <v>0</v>
      </c>
    </row>
    <row r="276" spans="1:12" s="521" customFormat="1" ht="20.100000000000001" hidden="1" customHeight="1" x14ac:dyDescent="0.2">
      <c r="A276" s="446" t="s">
        <v>527</v>
      </c>
      <c r="B276" s="509"/>
      <c r="C276" s="454"/>
      <c r="D276" s="456"/>
      <c r="E276" s="456"/>
      <c r="F276" s="456"/>
      <c r="G276" s="456"/>
      <c r="H276" s="456"/>
      <c r="I276" s="456"/>
      <c r="J276" s="456"/>
      <c r="K276" s="440">
        <f>C276+D276+E276+F276+G276+H276+I276+J276</f>
        <v>0</v>
      </c>
      <c r="L276" s="441">
        <f>D276+E276+F276+G276+H276+I276+J276</f>
        <v>0</v>
      </c>
    </row>
    <row r="277" spans="1:12" s="521" customFormat="1" ht="27" hidden="1" customHeight="1" x14ac:dyDescent="0.2">
      <c r="A277" s="446" t="s">
        <v>528</v>
      </c>
      <c r="B277" s="509"/>
      <c r="C277" s="454"/>
      <c r="D277" s="456"/>
      <c r="E277" s="456"/>
      <c r="F277" s="456"/>
      <c r="G277" s="456"/>
      <c r="H277" s="456"/>
      <c r="I277" s="456"/>
      <c r="J277" s="456"/>
      <c r="K277" s="440">
        <f>C277+D277+E277+F277+G277+H277+I277+J277</f>
        <v>0</v>
      </c>
      <c r="L277" s="441">
        <f>D277+E277+F277+G277+H277+I277+J277</f>
        <v>0</v>
      </c>
    </row>
    <row r="278" spans="1:12" s="521" customFormat="1" ht="27" hidden="1" customHeight="1" x14ac:dyDescent="0.2">
      <c r="A278" s="446" t="s">
        <v>529</v>
      </c>
      <c r="B278" s="509"/>
      <c r="C278" s="454"/>
      <c r="D278" s="456"/>
      <c r="E278" s="456"/>
      <c r="F278" s="456"/>
      <c r="G278" s="456"/>
      <c r="H278" s="456"/>
      <c r="I278" s="456"/>
      <c r="J278" s="456"/>
      <c r="K278" s="440">
        <f>C278+D278+E278+F278+G278+H278+I278+J278</f>
        <v>0</v>
      </c>
      <c r="L278" s="441">
        <f>D278+E278+F278+G278+H278+I278+J278</f>
        <v>0</v>
      </c>
    </row>
    <row r="279" spans="1:12" s="521" customFormat="1" ht="20.100000000000001" hidden="1" customHeight="1" x14ac:dyDescent="0.2">
      <c r="A279" s="446" t="s">
        <v>530</v>
      </c>
      <c r="B279" s="509"/>
      <c r="C279" s="496"/>
      <c r="D279" s="456"/>
      <c r="E279" s="456"/>
      <c r="F279" s="456"/>
      <c r="G279" s="456"/>
      <c r="H279" s="456"/>
      <c r="I279" s="456"/>
      <c r="J279" s="456"/>
      <c r="K279" s="440">
        <f>C279+D279+E279+F279+G279+H279+I279+J279</f>
        <v>0</v>
      </c>
      <c r="L279" s="441">
        <f>D279+E279+F279+G279+H279+I279+J279</f>
        <v>0</v>
      </c>
    </row>
    <row r="280" spans="1:12" s="521" customFormat="1" ht="20.100000000000001" hidden="1" customHeight="1" x14ac:dyDescent="0.2">
      <c r="A280" s="446" t="s">
        <v>531</v>
      </c>
      <c r="B280" s="509"/>
      <c r="C280" s="496"/>
      <c r="D280" s="456"/>
      <c r="E280" s="456"/>
      <c r="F280" s="456"/>
      <c r="G280" s="456"/>
      <c r="H280" s="456"/>
      <c r="I280" s="456"/>
      <c r="J280" s="456"/>
      <c r="K280" s="440">
        <f>C280+D280+E280+F280+G280+H280+I280+J280</f>
        <v>0</v>
      </c>
      <c r="L280" s="441">
        <f>D280+E280+F280+G280+H280+I280+J280</f>
        <v>0</v>
      </c>
    </row>
    <row r="281" spans="1:12" s="521" customFormat="1" ht="20.100000000000001" hidden="1" customHeight="1" x14ac:dyDescent="0.2">
      <c r="A281" s="446" t="s">
        <v>532</v>
      </c>
      <c r="B281" s="509"/>
      <c r="C281" s="448"/>
      <c r="D281" s="456"/>
      <c r="E281" s="456"/>
      <c r="F281" s="456"/>
      <c r="G281" s="456"/>
      <c r="H281" s="456"/>
      <c r="I281" s="456"/>
      <c r="J281" s="456"/>
      <c r="K281" s="440">
        <f>C281+D281+E281+F281+G281+H281+I281+J281</f>
        <v>0</v>
      </c>
      <c r="L281" s="441">
        <f>D281+E281+F281+G281+H281+I281+J281</f>
        <v>0</v>
      </c>
    </row>
    <row r="282" spans="1:12" s="557" customFormat="1" ht="20.100000000000001" hidden="1" customHeight="1" x14ac:dyDescent="0.2">
      <c r="A282" s="446" t="s">
        <v>533</v>
      </c>
      <c r="B282" s="530"/>
      <c r="C282" s="448"/>
      <c r="D282" s="460"/>
      <c r="E282" s="460"/>
      <c r="F282" s="460"/>
      <c r="G282" s="460"/>
      <c r="H282" s="460"/>
      <c r="I282" s="460"/>
      <c r="J282" s="460"/>
      <c r="K282" s="440">
        <f>C282+D282+E282+F282+G282+H282+I282+J282</f>
        <v>0</v>
      </c>
      <c r="L282" s="441">
        <f>D282+E282+F282+G282+H282+I282+J282</f>
        <v>0</v>
      </c>
    </row>
    <row r="283" spans="1:12" s="517" customFormat="1" ht="35.25" customHeight="1" thickBot="1" x14ac:dyDescent="0.25">
      <c r="A283" s="525" t="s">
        <v>534</v>
      </c>
      <c r="B283" s="526" t="s">
        <v>18</v>
      </c>
      <c r="C283" s="554">
        <f>C271+C261+C260+C259+C258</f>
        <v>9000</v>
      </c>
      <c r="D283" s="554">
        <f t="shared" ref="D283:J283" si="40">D271+D261+D260+D259+D258</f>
        <v>0</v>
      </c>
      <c r="E283" s="554">
        <f t="shared" si="40"/>
        <v>0</v>
      </c>
      <c r="F283" s="554">
        <f t="shared" si="40"/>
        <v>0</v>
      </c>
      <c r="G283" s="554">
        <f t="shared" si="40"/>
        <v>0</v>
      </c>
      <c r="H283" s="554">
        <f t="shared" si="40"/>
        <v>0</v>
      </c>
      <c r="I283" s="554">
        <f t="shared" si="40"/>
        <v>0</v>
      </c>
      <c r="J283" s="554">
        <f t="shared" si="40"/>
        <v>0</v>
      </c>
      <c r="K283" s="440">
        <f>C283+D283+E283+F283+G283+H283+I283+J283</f>
        <v>9000</v>
      </c>
      <c r="L283" s="441">
        <f>D283+E283+F283+G283+H283+I283+J283</f>
        <v>0</v>
      </c>
    </row>
    <row r="284" spans="1:12" s="528" customFormat="1" ht="36" customHeight="1" thickBot="1" x14ac:dyDescent="0.25">
      <c r="A284" s="558" t="s">
        <v>535</v>
      </c>
      <c r="B284" s="559" t="s">
        <v>110</v>
      </c>
      <c r="C284" s="560">
        <f>C283+C257+C231+C222+C186+C83+C47</f>
        <v>5477493.8509999998</v>
      </c>
      <c r="D284" s="560">
        <f t="shared" ref="D284:J284" si="41">D283+D257+D231+D222+D186+D83+D47</f>
        <v>10160</v>
      </c>
      <c r="E284" s="560">
        <f t="shared" si="41"/>
        <v>884008</v>
      </c>
      <c r="F284" s="560">
        <f t="shared" si="41"/>
        <v>1184232</v>
      </c>
      <c r="G284" s="560">
        <f t="shared" si="41"/>
        <v>35759</v>
      </c>
      <c r="H284" s="560">
        <f t="shared" si="41"/>
        <v>22429</v>
      </c>
      <c r="I284" s="560">
        <f t="shared" si="41"/>
        <v>54193</v>
      </c>
      <c r="J284" s="560">
        <f t="shared" si="41"/>
        <v>12000</v>
      </c>
      <c r="K284" s="440">
        <f>C284+D284+E284+F284+G284+H284+I284+J284</f>
        <v>7680274.8509999998</v>
      </c>
      <c r="L284" s="441">
        <f>D284+E284+F284+G284+H284+I284+J284</f>
        <v>2202781</v>
      </c>
    </row>
    <row r="285" spans="1:12" s="538" customFormat="1" ht="27.75" hidden="1" customHeight="1" x14ac:dyDescent="0.2">
      <c r="A285" s="438" t="s">
        <v>536</v>
      </c>
      <c r="B285" s="514"/>
      <c r="C285" s="477"/>
      <c r="D285" s="439"/>
      <c r="E285" s="439"/>
      <c r="F285" s="439"/>
      <c r="G285" s="439"/>
      <c r="H285" s="439"/>
      <c r="I285" s="439"/>
      <c r="J285" s="439"/>
      <c r="K285" s="440">
        <f>C285+D285+E285+F285+G285+H285+I285+J285</f>
        <v>0</v>
      </c>
      <c r="L285" s="441">
        <f>D285+E285+F285+G285+H285+I285+J285</f>
        <v>0</v>
      </c>
    </row>
    <row r="286" spans="1:12" s="392" customFormat="1" ht="30" hidden="1" customHeight="1" x14ac:dyDescent="0.2">
      <c r="A286" s="442" t="s">
        <v>537</v>
      </c>
      <c r="B286" s="541"/>
      <c r="C286" s="463"/>
      <c r="D286" s="443"/>
      <c r="E286" s="443"/>
      <c r="F286" s="443"/>
      <c r="G286" s="443"/>
      <c r="H286" s="443"/>
      <c r="I286" s="443"/>
      <c r="J286" s="443"/>
      <c r="K286" s="440">
        <f>C286+D286+E286+F286+G286+H286+I286+J286</f>
        <v>0</v>
      </c>
      <c r="L286" s="441">
        <f>D286+E286+F286+G286+H286+I286+J286</f>
        <v>0</v>
      </c>
    </row>
    <row r="287" spans="1:12" s="542" customFormat="1" ht="29.25" hidden="1" customHeight="1" x14ac:dyDescent="0.2">
      <c r="A287" s="442" t="s">
        <v>538</v>
      </c>
      <c r="B287" s="541"/>
      <c r="C287" s="463">
        <v>0</v>
      </c>
      <c r="D287" s="464">
        <v>0</v>
      </c>
      <c r="E287" s="464">
        <v>0</v>
      </c>
      <c r="F287" s="448"/>
      <c r="G287" s="448"/>
      <c r="H287" s="448"/>
      <c r="I287" s="448"/>
      <c r="J287" s="448"/>
      <c r="K287" s="440">
        <f>C287+D287+E287+F287+G287+H287+I287+J287</f>
        <v>0</v>
      </c>
      <c r="L287" s="441">
        <f>D287+E287+F287+G287+H287+I287+J287</f>
        <v>0</v>
      </c>
    </row>
    <row r="288" spans="1:12" s="517" customFormat="1" ht="30.75" hidden="1" customHeight="1" x14ac:dyDescent="0.2">
      <c r="A288" s="449" t="s">
        <v>539</v>
      </c>
      <c r="B288" s="516"/>
      <c r="C288" s="450">
        <f>SUM(C285:C287)</f>
        <v>0</v>
      </c>
      <c r="D288" s="450">
        <f t="shared" ref="D288:J288" si="42">SUM(D285:D287)</f>
        <v>0</v>
      </c>
      <c r="E288" s="450">
        <f t="shared" si="42"/>
        <v>0</v>
      </c>
      <c r="F288" s="450">
        <f t="shared" si="42"/>
        <v>0</v>
      </c>
      <c r="G288" s="450">
        <f t="shared" si="42"/>
        <v>0</v>
      </c>
      <c r="H288" s="450">
        <f t="shared" si="42"/>
        <v>0</v>
      </c>
      <c r="I288" s="450">
        <f t="shared" si="42"/>
        <v>0</v>
      </c>
      <c r="J288" s="450">
        <f t="shared" si="42"/>
        <v>0</v>
      </c>
      <c r="K288" s="440">
        <f>C288+D288+E288+F288+G288+H288+I288+J288</f>
        <v>0</v>
      </c>
      <c r="L288" s="441">
        <f>D288+E288+F288+G288+H288+I288+J288</f>
        <v>0</v>
      </c>
    </row>
    <row r="289" spans="1:12" s="542" customFormat="1" ht="33" customHeight="1" x14ac:dyDescent="0.2">
      <c r="A289" s="442" t="s">
        <v>540</v>
      </c>
      <c r="B289" s="541"/>
      <c r="C289" s="448">
        <v>0</v>
      </c>
      <c r="D289" s="317">
        <v>0</v>
      </c>
      <c r="E289" s="317">
        <v>0</v>
      </c>
      <c r="F289" s="448">
        <f t="shared" ref="F289:J289" si="43">SUM(F290:F291)</f>
        <v>0</v>
      </c>
      <c r="G289" s="448">
        <f t="shared" si="43"/>
        <v>0</v>
      </c>
      <c r="H289" s="448">
        <f t="shared" si="43"/>
        <v>0</v>
      </c>
      <c r="I289" s="448">
        <f t="shared" si="43"/>
        <v>0</v>
      </c>
      <c r="J289" s="448">
        <f t="shared" si="43"/>
        <v>0</v>
      </c>
      <c r="K289" s="440">
        <f>C289+D289+E289+F289+G289+H289+I289+J289</f>
        <v>0</v>
      </c>
      <c r="L289" s="441">
        <f>D289+E289+F289+G289+H289+I289+J289</f>
        <v>0</v>
      </c>
    </row>
    <row r="290" spans="1:12" s="521" customFormat="1" ht="20.100000000000001" hidden="1" customHeight="1" x14ac:dyDescent="0.2">
      <c r="A290" s="446" t="s">
        <v>541</v>
      </c>
      <c r="B290" s="539"/>
      <c r="C290" s="357"/>
      <c r="D290" s="317"/>
      <c r="E290" s="464"/>
      <c r="F290" s="464"/>
      <c r="G290" s="464"/>
      <c r="H290" s="464"/>
      <c r="I290" s="464"/>
      <c r="J290" s="464"/>
      <c r="K290" s="440">
        <f>C290+D290+E290+F290+G290+H290+I290+J290</f>
        <v>0</v>
      </c>
      <c r="L290" s="441">
        <f>D290+E290+F290+G290+H290+I290+J290</f>
        <v>0</v>
      </c>
    </row>
    <row r="291" spans="1:12" s="521" customFormat="1" ht="20.100000000000001" hidden="1" customHeight="1" x14ac:dyDescent="0.2">
      <c r="A291" s="446" t="s">
        <v>542</v>
      </c>
      <c r="B291" s="539"/>
      <c r="C291" s="357"/>
      <c r="D291" s="357"/>
      <c r="E291" s="357"/>
      <c r="F291" s="464"/>
      <c r="G291" s="464"/>
      <c r="H291" s="464"/>
      <c r="I291" s="464"/>
      <c r="J291" s="464"/>
      <c r="K291" s="440">
        <f>C291+D291+E291+F291+G291+H291+I291+J291</f>
        <v>0</v>
      </c>
      <c r="L291" s="441">
        <f>D291+E291+F291+G291+H291+I291+J291</f>
        <v>0</v>
      </c>
    </row>
    <row r="292" spans="1:12" s="392" customFormat="1" ht="30" hidden="1" customHeight="1" x14ac:dyDescent="0.2">
      <c r="A292" s="442" t="s">
        <v>543</v>
      </c>
      <c r="B292" s="541"/>
      <c r="C292" s="448"/>
      <c r="D292" s="317"/>
      <c r="E292" s="317"/>
      <c r="F292" s="317"/>
      <c r="G292" s="317"/>
      <c r="H292" s="443"/>
      <c r="I292" s="317"/>
      <c r="J292" s="443"/>
      <c r="K292" s="440">
        <f>C292+D292+E292+F292+G292+H292+I292+J292</f>
        <v>0</v>
      </c>
      <c r="L292" s="441">
        <f>D292+E292+F292+G292+H292+I292+J292</f>
        <v>0</v>
      </c>
    </row>
    <row r="293" spans="1:12" s="392" customFormat="1" ht="28.5" customHeight="1" x14ac:dyDescent="0.2">
      <c r="A293" s="442" t="s">
        <v>544</v>
      </c>
      <c r="B293" s="541"/>
      <c r="C293" s="448"/>
      <c r="D293" s="317"/>
      <c r="E293" s="317"/>
      <c r="F293" s="317"/>
      <c r="G293" s="317"/>
      <c r="H293" s="443"/>
      <c r="I293" s="317"/>
      <c r="J293" s="443"/>
      <c r="K293" s="440">
        <f>C293+D293+E293+F293+G293+H293+I293+J293</f>
        <v>0</v>
      </c>
      <c r="L293" s="441">
        <f>D293+E293+F293+G293+H293+I293+J293</f>
        <v>0</v>
      </c>
    </row>
    <row r="294" spans="1:12" s="392" customFormat="1" ht="28.5" hidden="1" customHeight="1" x14ac:dyDescent="0.2">
      <c r="A294" s="442" t="s">
        <v>545</v>
      </c>
      <c r="B294" s="541"/>
      <c r="C294" s="448"/>
      <c r="D294" s="317"/>
      <c r="E294" s="317"/>
      <c r="F294" s="317"/>
      <c r="G294" s="317"/>
      <c r="H294" s="443"/>
      <c r="I294" s="317"/>
      <c r="J294" s="443"/>
      <c r="K294" s="440">
        <f>C294+D294+E294+F294+G294+H294+I294+J294</f>
        <v>0</v>
      </c>
      <c r="L294" s="441">
        <f>D294+E294+F294+G294+H294+I294+J294</f>
        <v>0</v>
      </c>
    </row>
    <row r="295" spans="1:12" s="517" customFormat="1" ht="28.5" customHeight="1" x14ac:dyDescent="0.2">
      <c r="A295" s="449" t="s">
        <v>546</v>
      </c>
      <c r="B295" s="516"/>
      <c r="C295" s="450">
        <f>SUM(C292:C294,C289)</f>
        <v>0</v>
      </c>
      <c r="D295" s="450">
        <f t="shared" ref="D295:J295" si="44">SUM(D292:D294,D289)</f>
        <v>0</v>
      </c>
      <c r="E295" s="450">
        <f t="shared" si="44"/>
        <v>0</v>
      </c>
      <c r="F295" s="450">
        <f t="shared" si="44"/>
        <v>0</v>
      </c>
      <c r="G295" s="450">
        <f t="shared" si="44"/>
        <v>0</v>
      </c>
      <c r="H295" s="450">
        <f t="shared" si="44"/>
        <v>0</v>
      </c>
      <c r="I295" s="450">
        <f t="shared" si="44"/>
        <v>0</v>
      </c>
      <c r="J295" s="450">
        <f t="shared" si="44"/>
        <v>0</v>
      </c>
      <c r="K295" s="440">
        <f>C295+D295+E295+F295+G295+H295+I295+J295</f>
        <v>0</v>
      </c>
      <c r="L295" s="441">
        <f>D295+E295+F295+G295+H295+I295+J295</f>
        <v>0</v>
      </c>
    </row>
    <row r="296" spans="1:12" s="392" customFormat="1" ht="27" customHeight="1" x14ac:dyDescent="0.2">
      <c r="A296" s="480" t="s">
        <v>547</v>
      </c>
      <c r="B296" s="541"/>
      <c r="C296" s="497">
        <f>133560+3046000</f>
        <v>3179560</v>
      </c>
      <c r="D296" s="478">
        <f>700000-400000+50000</f>
        <v>350000</v>
      </c>
      <c r="E296" s="317">
        <v>80000</v>
      </c>
      <c r="F296" s="317">
        <v>1000000</v>
      </c>
      <c r="G296" s="317">
        <v>57000</v>
      </c>
      <c r="H296" s="443">
        <v>17000</v>
      </c>
      <c r="I296" s="317">
        <v>20000</v>
      </c>
      <c r="J296" s="443">
        <v>6000</v>
      </c>
      <c r="K296" s="440">
        <f>C296+D296+E296+F296+G296+H296+I296+J296</f>
        <v>4709560</v>
      </c>
      <c r="L296" s="441">
        <f>D296+E296+F296+G296+H296+I296+J296</f>
        <v>1530000</v>
      </c>
    </row>
    <row r="297" spans="1:12" s="392" customFormat="1" ht="27.75" customHeight="1" x14ac:dyDescent="0.2">
      <c r="A297" s="442" t="s">
        <v>548</v>
      </c>
      <c r="B297" s="541"/>
      <c r="C297" s="448"/>
      <c r="D297" s="317"/>
      <c r="E297" s="317"/>
      <c r="F297" s="317"/>
      <c r="G297" s="317"/>
      <c r="H297" s="443"/>
      <c r="I297" s="317"/>
      <c r="J297" s="443"/>
      <c r="K297" s="440">
        <f>C297+D297+E297+F297+G297+H297+I297+J297</f>
        <v>0</v>
      </c>
      <c r="L297" s="441">
        <f>D297+E297+F297+G297+H297+I297+J297</f>
        <v>0</v>
      </c>
    </row>
    <row r="298" spans="1:12" s="517" customFormat="1" ht="20.100000000000001" customHeight="1" x14ac:dyDescent="0.2">
      <c r="A298" s="449" t="s">
        <v>549</v>
      </c>
      <c r="B298" s="516"/>
      <c r="C298" s="450">
        <f>SUM(C296:C297)</f>
        <v>3179560</v>
      </c>
      <c r="D298" s="450">
        <f t="shared" ref="D298:J298" si="45">SUM(D296:D297)</f>
        <v>350000</v>
      </c>
      <c r="E298" s="450">
        <f t="shared" si="45"/>
        <v>80000</v>
      </c>
      <c r="F298" s="450">
        <f t="shared" si="45"/>
        <v>1000000</v>
      </c>
      <c r="G298" s="450">
        <f t="shared" si="45"/>
        <v>57000</v>
      </c>
      <c r="H298" s="450">
        <f t="shared" si="45"/>
        <v>17000</v>
      </c>
      <c r="I298" s="450">
        <f t="shared" si="45"/>
        <v>20000</v>
      </c>
      <c r="J298" s="450">
        <f t="shared" si="45"/>
        <v>6000</v>
      </c>
      <c r="K298" s="440">
        <f>C298+D298+E298+F298+G298+H298+I298+J298</f>
        <v>4709560</v>
      </c>
      <c r="L298" s="441">
        <f>D298+E298+F298+G298+H298+I298+J298</f>
        <v>1530000</v>
      </c>
    </row>
    <row r="299" spans="1:12" s="392" customFormat="1" ht="20.100000000000001" customHeight="1" x14ac:dyDescent="0.2">
      <c r="A299" s="442" t="s">
        <v>550</v>
      </c>
      <c r="B299" s="541"/>
      <c r="C299" s="317">
        <v>0</v>
      </c>
      <c r="D299" s="317"/>
      <c r="E299" s="317"/>
      <c r="F299" s="317"/>
      <c r="G299" s="317"/>
      <c r="H299" s="443"/>
      <c r="I299" s="317"/>
      <c r="J299" s="443"/>
      <c r="K299" s="440">
        <f>C299+D299+E299+F299+G299+H299+I299+J299</f>
        <v>0</v>
      </c>
      <c r="L299" s="441">
        <f>D299+E299+F299+G299+H299+I299+J299</f>
        <v>0</v>
      </c>
    </row>
    <row r="300" spans="1:12" s="392" customFormat="1" ht="28.5" hidden="1" customHeight="1" x14ac:dyDescent="0.2">
      <c r="A300" s="442" t="s">
        <v>551</v>
      </c>
      <c r="B300" s="541"/>
      <c r="C300" s="317"/>
      <c r="D300" s="317"/>
      <c r="E300" s="317"/>
      <c r="F300" s="317"/>
      <c r="G300" s="317"/>
      <c r="H300" s="443"/>
      <c r="I300" s="317"/>
      <c r="J300" s="443"/>
      <c r="K300" s="440">
        <f>C300+D300+E300+F300+G300+H300+I300+J300</f>
        <v>0</v>
      </c>
      <c r="L300" s="441">
        <f>D300+E300+F300+G300+H300+I300+J300</f>
        <v>0</v>
      </c>
    </row>
    <row r="301" spans="1:12" s="392" customFormat="1" ht="20.100000000000001" customHeight="1" x14ac:dyDescent="0.2">
      <c r="A301" s="480" t="s">
        <v>552</v>
      </c>
      <c r="B301" s="541"/>
      <c r="C301" s="317"/>
      <c r="D301" s="443">
        <f>SUM('3. melléklet'!D316-'2. melléklet'!D284-D288-D295-D298-D299-D300-D302-D303-D306)</f>
        <v>969596.99212598428</v>
      </c>
      <c r="E301" s="443">
        <f>SUM('3. melléklet'!E316-'2. melléklet'!E284-E288-E295-E298-E299-E300-E302-E303-E306)</f>
        <v>205663</v>
      </c>
      <c r="F301" s="443">
        <f>SUM('3. melléklet'!F316-'2. melléklet'!F284-F288-F295-F298-F299-F300-F302-F303-F306)</f>
        <v>1427403.06</v>
      </c>
      <c r="G301" s="443">
        <f>SUM('3. melléklet'!G316-'2. melléklet'!G284-G288-G295-G298-G299-G300-G302-G303-G306)</f>
        <v>842716</v>
      </c>
      <c r="H301" s="443">
        <f>SUM('3. melléklet'!H316-'2. melléklet'!H284-H288-H295-H298-H299-H300-H302-H303-H306)</f>
        <v>492946</v>
      </c>
      <c r="I301" s="443">
        <f>SUM('3. melléklet'!I316-'2. melléklet'!I284-I288-I295-I298-I299-I300-I302-I303-I306)</f>
        <v>448565</v>
      </c>
      <c r="J301" s="443">
        <f>SUM('3. melléklet'!J316-'2. melléklet'!J284-J288-J295-J298-J299-J300-J302-J303-J306)</f>
        <v>79810</v>
      </c>
      <c r="K301" s="440">
        <f>C301+D301+E301+F301+G301+H301+I301+J301</f>
        <v>4466700.0521259848</v>
      </c>
      <c r="L301" s="441">
        <f>D301+E301+F301+G301+H301+I301+J301</f>
        <v>4466700.0521259848</v>
      </c>
    </row>
    <row r="302" spans="1:12" s="538" customFormat="1" ht="20.100000000000001" customHeight="1" x14ac:dyDescent="0.2">
      <c r="A302" s="442" t="s">
        <v>553</v>
      </c>
      <c r="B302" s="514"/>
      <c r="C302" s="478">
        <v>2500000</v>
      </c>
      <c r="D302" s="478"/>
      <c r="E302" s="478"/>
      <c r="F302" s="478"/>
      <c r="G302" s="478"/>
      <c r="H302" s="439"/>
      <c r="I302" s="478"/>
      <c r="J302" s="439"/>
      <c r="K302" s="440">
        <f>C302+D302+E302+F302+G302+H302+I302+J302</f>
        <v>2500000</v>
      </c>
      <c r="L302" s="441">
        <f>D302+E302+F302+G302+H302+I302+J302</f>
        <v>0</v>
      </c>
    </row>
    <row r="303" spans="1:12" s="392" customFormat="1" ht="29.25" customHeight="1" x14ac:dyDescent="0.2">
      <c r="A303" s="442" t="s">
        <v>554</v>
      </c>
      <c r="B303" s="541"/>
      <c r="C303" s="317"/>
      <c r="D303" s="317"/>
      <c r="E303" s="317"/>
      <c r="F303" s="317"/>
      <c r="G303" s="317"/>
      <c r="H303" s="443"/>
      <c r="I303" s="317"/>
      <c r="J303" s="443"/>
      <c r="K303" s="440">
        <f>C303+D303+E303+F303+G303+H303+I303+J303</f>
        <v>0</v>
      </c>
      <c r="L303" s="441">
        <f>D303+E303+F303+G303+H303+I303+J303</f>
        <v>0</v>
      </c>
    </row>
    <row r="304" spans="1:12" s="521" customFormat="1" ht="20.100000000000001" hidden="1" customHeight="1" x14ac:dyDescent="0.2">
      <c r="A304" s="446" t="s">
        <v>555</v>
      </c>
      <c r="B304" s="539"/>
      <c r="C304" s="498"/>
      <c r="D304" s="357"/>
      <c r="E304" s="357"/>
      <c r="F304" s="357"/>
      <c r="G304" s="357"/>
      <c r="H304" s="447"/>
      <c r="I304" s="357"/>
      <c r="J304" s="447"/>
      <c r="K304" s="440">
        <f>C304+D304+E304+F304+G304+H304+I304+J304</f>
        <v>0</v>
      </c>
      <c r="L304" s="441">
        <f>D304+E304+F304+G304+H304+I304+J304</f>
        <v>0</v>
      </c>
    </row>
    <row r="305" spans="1:12" s="521" customFormat="1" ht="20.100000000000001" hidden="1" customHeight="1" x14ac:dyDescent="0.2">
      <c r="A305" s="446" t="s">
        <v>556</v>
      </c>
      <c r="B305" s="539"/>
      <c r="C305" s="498"/>
      <c r="D305" s="357"/>
      <c r="E305" s="357"/>
      <c r="F305" s="357"/>
      <c r="G305" s="357"/>
      <c r="H305" s="447"/>
      <c r="I305" s="357"/>
      <c r="J305" s="447"/>
      <c r="K305" s="440">
        <f>C305+D305+E305+F305+G305+H305+I305+J305</f>
        <v>0</v>
      </c>
      <c r="L305" s="441">
        <f>D305+E305+F305+G305+H305+I305+J305</f>
        <v>0</v>
      </c>
    </row>
    <row r="306" spans="1:12" s="517" customFormat="1" ht="20.100000000000001" customHeight="1" x14ac:dyDescent="0.2">
      <c r="A306" s="449" t="s">
        <v>557</v>
      </c>
      <c r="B306" s="516"/>
      <c r="C306" s="450">
        <f>SUM(C304:C305)</f>
        <v>0</v>
      </c>
      <c r="D306" s="450">
        <f t="shared" ref="D306:J306" si="46">SUM(D304:D305)</f>
        <v>0</v>
      </c>
      <c r="E306" s="450">
        <f t="shared" si="46"/>
        <v>0</v>
      </c>
      <c r="F306" s="450">
        <f t="shared" si="46"/>
        <v>0</v>
      </c>
      <c r="G306" s="450">
        <f t="shared" si="46"/>
        <v>0</v>
      </c>
      <c r="H306" s="450">
        <f t="shared" si="46"/>
        <v>0</v>
      </c>
      <c r="I306" s="450">
        <f t="shared" si="46"/>
        <v>0</v>
      </c>
      <c r="J306" s="450">
        <f t="shared" si="46"/>
        <v>0</v>
      </c>
      <c r="K306" s="440">
        <f>C306+D306+E306+F306+G306+H306+I306+J306</f>
        <v>0</v>
      </c>
      <c r="L306" s="441">
        <f>D306+E306+F306+G306+H306+I306+J306</f>
        <v>0</v>
      </c>
    </row>
    <row r="307" spans="1:12" s="517" customFormat="1" ht="35.25" customHeight="1" x14ac:dyDescent="0.2">
      <c r="A307" s="449" t="s">
        <v>558</v>
      </c>
      <c r="B307" s="516"/>
      <c r="C307" s="459">
        <f>C306+C303+C302+C301+C300+C299+C298+C295+C288</f>
        <v>5679560</v>
      </c>
      <c r="D307" s="459">
        <f t="shared" ref="D307:J307" si="47">D306+D303+D302+D301+D300+D299+D298+D295+D288</f>
        <v>1319596.9921259843</v>
      </c>
      <c r="E307" s="459">
        <f t="shared" si="47"/>
        <v>285663</v>
      </c>
      <c r="F307" s="459">
        <f t="shared" si="47"/>
        <v>2427403.06</v>
      </c>
      <c r="G307" s="459">
        <f t="shared" si="47"/>
        <v>899716</v>
      </c>
      <c r="H307" s="459">
        <f t="shared" si="47"/>
        <v>509946</v>
      </c>
      <c r="I307" s="459">
        <f t="shared" si="47"/>
        <v>468565</v>
      </c>
      <c r="J307" s="459">
        <f t="shared" si="47"/>
        <v>85810</v>
      </c>
      <c r="K307" s="440">
        <f>C307+D307+E307+F307+G307+H307+I307+J307</f>
        <v>11676260.052125985</v>
      </c>
      <c r="L307" s="441">
        <f>D307+E307+F307+G307+H307+I307+J307</f>
        <v>5996700.0521259848</v>
      </c>
    </row>
    <row r="308" spans="1:12" s="392" customFormat="1" ht="30" hidden="1" customHeight="1" x14ac:dyDescent="0.2">
      <c r="A308" s="442" t="s">
        <v>559</v>
      </c>
      <c r="B308" s="541"/>
      <c r="C308" s="317"/>
      <c r="D308" s="317"/>
      <c r="E308" s="317"/>
      <c r="F308" s="317"/>
      <c r="G308" s="317"/>
      <c r="H308" s="443"/>
      <c r="I308" s="317"/>
      <c r="J308" s="443"/>
      <c r="K308" s="440">
        <f>C308+D308+E308+F308+G308+H308+I308+J308</f>
        <v>0</v>
      </c>
      <c r="L308" s="441">
        <f>D308+E308+F308+G308+H308+I308+J308</f>
        <v>0</v>
      </c>
    </row>
    <row r="309" spans="1:12" s="392" customFormat="1" ht="27.75" hidden="1" customHeight="1" x14ac:dyDescent="0.2">
      <c r="A309" s="442" t="s">
        <v>560</v>
      </c>
      <c r="B309" s="541"/>
      <c r="C309" s="448"/>
      <c r="D309" s="317"/>
      <c r="E309" s="317"/>
      <c r="F309" s="317"/>
      <c r="G309" s="317"/>
      <c r="H309" s="443"/>
      <c r="I309" s="317"/>
      <c r="J309" s="443"/>
      <c r="K309" s="440">
        <f>C309+D309+E309+F309+G309+H309+I309+J309</f>
        <v>0</v>
      </c>
      <c r="L309" s="441">
        <f>D309+E309+F309+G309+H309+I309+J309</f>
        <v>0</v>
      </c>
    </row>
    <row r="310" spans="1:12" s="538" customFormat="1" ht="20.100000000000001" hidden="1" customHeight="1" x14ac:dyDescent="0.2">
      <c r="A310" s="442" t="s">
        <v>561</v>
      </c>
      <c r="B310" s="514"/>
      <c r="C310" s="448"/>
      <c r="D310" s="478"/>
      <c r="E310" s="478"/>
      <c r="F310" s="478"/>
      <c r="G310" s="478"/>
      <c r="H310" s="439"/>
      <c r="I310" s="478"/>
      <c r="J310" s="439"/>
      <c r="K310" s="440">
        <f>C310+D310+E310+F310+G310+H310+I310+J310</f>
        <v>0</v>
      </c>
      <c r="L310" s="441">
        <f>D310+E310+F310+G310+H310+I310+J310</f>
        <v>0</v>
      </c>
    </row>
    <row r="311" spans="1:12" s="392" customFormat="1" ht="28.5" hidden="1" customHeight="1" x14ac:dyDescent="0.2">
      <c r="A311" s="442" t="s">
        <v>562</v>
      </c>
      <c r="B311" s="541"/>
      <c r="C311" s="448"/>
      <c r="D311" s="317"/>
      <c r="E311" s="317"/>
      <c r="F311" s="317"/>
      <c r="G311" s="317"/>
      <c r="H311" s="443"/>
      <c r="I311" s="317"/>
      <c r="J311" s="443"/>
      <c r="K311" s="440">
        <f>C311+D311+E311+F311+G311+H311+I311+J311</f>
        <v>0</v>
      </c>
      <c r="L311" s="441">
        <f>D311+E311+F311+G311+H311+I311+J311</f>
        <v>0</v>
      </c>
    </row>
    <row r="312" spans="1:12" s="392" customFormat="1" ht="30.75" hidden="1" customHeight="1" x14ac:dyDescent="0.2">
      <c r="A312" s="442" t="s">
        <v>563</v>
      </c>
      <c r="B312" s="541"/>
      <c r="C312" s="317"/>
      <c r="D312" s="317"/>
      <c r="E312" s="317"/>
      <c r="F312" s="317"/>
      <c r="G312" s="317"/>
      <c r="H312" s="443"/>
      <c r="I312" s="317"/>
      <c r="J312" s="443"/>
      <c r="K312" s="440">
        <f>C312+D312+E312+F312+G312+H312+I312+J312</f>
        <v>0</v>
      </c>
      <c r="L312" s="441">
        <f>D312+E312+F312+G312+H312+I312+J312</f>
        <v>0</v>
      </c>
    </row>
    <row r="313" spans="1:12" s="517" customFormat="1" ht="20.100000000000001" customHeight="1" x14ac:dyDescent="0.2">
      <c r="A313" s="449" t="s">
        <v>564</v>
      </c>
      <c r="B313" s="516"/>
      <c r="C313" s="499">
        <f>SUM(C308:C312)</f>
        <v>0</v>
      </c>
      <c r="D313" s="499">
        <f t="shared" ref="D313:J313" si="48">SUM(D308:D312)</f>
        <v>0</v>
      </c>
      <c r="E313" s="499">
        <f t="shared" si="48"/>
        <v>0</v>
      </c>
      <c r="F313" s="499">
        <f t="shared" si="48"/>
        <v>0</v>
      </c>
      <c r="G313" s="499">
        <f t="shared" si="48"/>
        <v>0</v>
      </c>
      <c r="H313" s="499">
        <f t="shared" si="48"/>
        <v>0</v>
      </c>
      <c r="I313" s="499">
        <f t="shared" si="48"/>
        <v>0</v>
      </c>
      <c r="J313" s="499">
        <f t="shared" si="48"/>
        <v>0</v>
      </c>
      <c r="K313" s="440">
        <f>C313+D313+E313+F313+G313+H313+I313+J313</f>
        <v>0</v>
      </c>
      <c r="L313" s="441">
        <f>D313+E313+F313+G313+H313+I313+J313</f>
        <v>0</v>
      </c>
    </row>
    <row r="314" spans="1:12" s="561" customFormat="1" ht="30" customHeight="1" x14ac:dyDescent="0.25">
      <c r="A314" s="451" t="s">
        <v>565</v>
      </c>
      <c r="B314" s="541"/>
      <c r="C314" s="500">
        <v>0</v>
      </c>
      <c r="D314" s="452"/>
      <c r="E314" s="483">
        <v>0</v>
      </c>
      <c r="F314" s="452"/>
      <c r="G314" s="452"/>
      <c r="H314" s="452"/>
      <c r="I314" s="452"/>
      <c r="J314" s="452"/>
      <c r="K314" s="440">
        <f>C314+D314+E314+F314+G314+H314+I314+J314</f>
        <v>0</v>
      </c>
      <c r="L314" s="441">
        <f>D314+E314+F314+G314+H314+I314+J314</f>
        <v>0</v>
      </c>
    </row>
    <row r="315" spans="1:12" s="562" customFormat="1" ht="20.100000000000001" customHeight="1" x14ac:dyDescent="0.25">
      <c r="A315" s="451" t="s">
        <v>566</v>
      </c>
      <c r="B315" s="541"/>
      <c r="C315" s="500">
        <v>0</v>
      </c>
      <c r="D315" s="483"/>
      <c r="E315" s="483"/>
      <c r="F315" s="483"/>
      <c r="G315" s="483"/>
      <c r="H315" s="483"/>
      <c r="I315" s="483"/>
      <c r="J315" s="483"/>
      <c r="K315" s="440">
        <f>C315+D315+E315+F315+G315+H315+I315+J315</f>
        <v>0</v>
      </c>
      <c r="L315" s="441">
        <f>D315+E315+F315+G315+H315+I315+J315</f>
        <v>0</v>
      </c>
    </row>
    <row r="316" spans="1:12" s="517" customFormat="1" ht="36" customHeight="1" thickBot="1" x14ac:dyDescent="0.25">
      <c r="A316" s="525" t="s">
        <v>567</v>
      </c>
      <c r="B316" s="553" t="s">
        <v>20</v>
      </c>
      <c r="C316" s="563">
        <f>C315+C314+C313+C307</f>
        <v>5679560</v>
      </c>
      <c r="D316" s="563">
        <f t="shared" ref="D316:J316" si="49">D315+D314+D313+D307</f>
        <v>1319596.9921259843</v>
      </c>
      <c r="E316" s="563">
        <f t="shared" si="49"/>
        <v>285663</v>
      </c>
      <c r="F316" s="563">
        <f t="shared" si="49"/>
        <v>2427403.06</v>
      </c>
      <c r="G316" s="563">
        <f t="shared" si="49"/>
        <v>899716</v>
      </c>
      <c r="H316" s="563">
        <f t="shared" si="49"/>
        <v>509946</v>
      </c>
      <c r="I316" s="563">
        <f t="shared" si="49"/>
        <v>468565</v>
      </c>
      <c r="J316" s="563">
        <f t="shared" si="49"/>
        <v>85810</v>
      </c>
      <c r="K316" s="440">
        <f>C316+D316+E316+F316+G316+H316+I316+J316</f>
        <v>11676260.052125985</v>
      </c>
      <c r="L316" s="441">
        <f>D316+E316+F316+G316+H316+I316+J316</f>
        <v>5996700.0521259848</v>
      </c>
    </row>
    <row r="317" spans="1:12" s="553" customFormat="1" ht="20.100000000000001" customHeight="1" thickBot="1" x14ac:dyDescent="0.3">
      <c r="A317" s="564" t="s">
        <v>30</v>
      </c>
      <c r="B317" s="565"/>
      <c r="C317" s="564">
        <f>C316+C284</f>
        <v>11157053.851</v>
      </c>
      <c r="D317" s="564">
        <f t="shared" ref="D317:J317" si="50">D316+D284</f>
        <v>1329756.9921259843</v>
      </c>
      <c r="E317" s="564">
        <f t="shared" si="50"/>
        <v>1169671</v>
      </c>
      <c r="F317" s="564">
        <f t="shared" si="50"/>
        <v>3611635.06</v>
      </c>
      <c r="G317" s="564">
        <f t="shared" si="50"/>
        <v>935475</v>
      </c>
      <c r="H317" s="564">
        <f t="shared" si="50"/>
        <v>532375</v>
      </c>
      <c r="I317" s="564">
        <f t="shared" si="50"/>
        <v>522758</v>
      </c>
      <c r="J317" s="564">
        <f t="shared" si="50"/>
        <v>97810</v>
      </c>
      <c r="K317" s="440">
        <f>C317+D317+E317+F317+G317+H317+I317+J317</f>
        <v>19356534.903125983</v>
      </c>
      <c r="L317" s="441">
        <f>D317+E317+F317+G317+H317+I317+J317</f>
        <v>8199481.0521259848</v>
      </c>
    </row>
    <row r="318" spans="1:12" s="504" customFormat="1" ht="20.100000000000001" customHeight="1" x14ac:dyDescent="0.2">
      <c r="A318" s="566"/>
      <c r="B318" s="567"/>
      <c r="C318" s="568"/>
      <c r="D318" s="569"/>
      <c r="E318" s="569"/>
      <c r="K318" s="570"/>
      <c r="L318" s="571"/>
    </row>
    <row r="319" spans="1:12" ht="20.100000000000001" customHeight="1" x14ac:dyDescent="0.2">
      <c r="C319" s="542"/>
    </row>
    <row r="320" spans="1:12" ht="20.100000000000001" customHeight="1" x14ac:dyDescent="0.2">
      <c r="C320" s="542"/>
    </row>
    <row r="321" spans="3:3" ht="20.100000000000001" customHeight="1" x14ac:dyDescent="0.2">
      <c r="C321" s="542"/>
    </row>
    <row r="322" spans="3:3" ht="20.100000000000001" customHeight="1" x14ac:dyDescent="0.2">
      <c r="C322" s="542"/>
    </row>
    <row r="323" spans="3:3" ht="20.100000000000001" customHeight="1" x14ac:dyDescent="0.2">
      <c r="C323" s="542"/>
    </row>
    <row r="324" spans="3:3" ht="20.100000000000001" customHeight="1" x14ac:dyDescent="0.2">
      <c r="C324" s="542"/>
    </row>
    <row r="325" spans="3:3" ht="20.100000000000001" customHeight="1" x14ac:dyDescent="0.2">
      <c r="C325" s="542"/>
    </row>
    <row r="326" spans="3:3" ht="20.100000000000001" customHeight="1" x14ac:dyDescent="0.2">
      <c r="C326" s="542"/>
    </row>
    <row r="327" spans="3:3" ht="20.100000000000001" customHeight="1" x14ac:dyDescent="0.2">
      <c r="C327" s="542"/>
    </row>
    <row r="328" spans="3:3" ht="20.100000000000001" customHeight="1" x14ac:dyDescent="0.2">
      <c r="C328" s="542"/>
    </row>
  </sheetData>
  <sheetProtection autoFilter="0" pivotTables="0"/>
  <mergeCells count="1">
    <mergeCell ref="B1:B2"/>
  </mergeCells>
  <pageMargins left="0.31496062992125984" right="0.23622047244094491" top="0.55118110236220474" bottom="0.55118110236220474" header="0.31496062992125984" footer="0.31496062992125984"/>
  <pageSetup paperSize="9" scale="80" fitToWidth="0" fitToHeight="0" orientation="landscape" r:id="rId1"/>
  <headerFooter>
    <oddHeader>&amp;R&amp;8 2. melléklet az .../2021. (XII. .....)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5"/>
  <sheetViews>
    <sheetView view="pageBreakPreview" zoomScale="110" zoomScaleNormal="100" zoomScaleSheetLayoutView="110" workbookViewId="0">
      <selection activeCell="F14" sqref="F14"/>
    </sheetView>
  </sheetViews>
  <sheetFormatPr defaultColWidth="9.140625" defaultRowHeight="12.75" x14ac:dyDescent="0.2"/>
  <cols>
    <col min="1" max="1" width="32.140625" style="389" customWidth="1"/>
    <col min="2" max="2" width="5.42578125" style="390" customWidth="1"/>
    <col min="3" max="3" width="17.42578125" style="431" customWidth="1"/>
    <col min="4" max="4" width="14.85546875" style="432" customWidth="1"/>
    <col min="5" max="5" width="17.7109375" style="432" customWidth="1"/>
    <col min="6" max="6" width="16.7109375" style="432" customWidth="1"/>
    <col min="7" max="7" width="14.5703125" style="432" customWidth="1"/>
    <col min="8" max="8" width="13.7109375" style="432" customWidth="1"/>
    <col min="9" max="9" width="14" style="432" customWidth="1"/>
    <col min="10" max="10" width="12.5703125" style="432" customWidth="1"/>
    <col min="11" max="11" width="16.7109375" style="433" customWidth="1"/>
    <col min="12" max="12" width="17.85546875" style="434" hidden="1" customWidth="1"/>
    <col min="13" max="13" width="14.28515625" style="389" customWidth="1"/>
    <col min="14" max="14" width="13.28515625" style="389" customWidth="1"/>
    <col min="15" max="16384" width="9.140625" style="389"/>
  </cols>
  <sheetData>
    <row r="1" spans="1:13" s="397" customFormat="1" ht="102" customHeight="1" x14ac:dyDescent="0.2">
      <c r="A1" s="395"/>
      <c r="B1" s="818" t="s">
        <v>109</v>
      </c>
      <c r="C1" s="897" t="s">
        <v>104</v>
      </c>
      <c r="D1" s="898" t="s">
        <v>105</v>
      </c>
      <c r="E1" s="899" t="s">
        <v>938</v>
      </c>
      <c r="F1" s="899" t="s">
        <v>90</v>
      </c>
      <c r="G1" s="899" t="s">
        <v>253</v>
      </c>
      <c r="H1" s="899" t="s">
        <v>88</v>
      </c>
      <c r="I1" s="899" t="s">
        <v>89</v>
      </c>
      <c r="J1" s="899" t="s">
        <v>252</v>
      </c>
      <c r="K1" s="396" t="s">
        <v>86</v>
      </c>
      <c r="L1" s="295" t="s">
        <v>1063</v>
      </c>
    </row>
    <row r="2" spans="1:13" s="397" customFormat="1" ht="50.25" customHeight="1" x14ac:dyDescent="0.2">
      <c r="A2" s="296" t="s">
        <v>887</v>
      </c>
      <c r="B2" s="819"/>
      <c r="C2" s="297" t="s">
        <v>937</v>
      </c>
      <c r="D2" s="297" t="s">
        <v>937</v>
      </c>
      <c r="E2" s="297" t="s">
        <v>937</v>
      </c>
      <c r="F2" s="297" t="s">
        <v>937</v>
      </c>
      <c r="G2" s="297" t="s">
        <v>937</v>
      </c>
      <c r="H2" s="297" t="s">
        <v>937</v>
      </c>
      <c r="I2" s="297" t="s">
        <v>937</v>
      </c>
      <c r="J2" s="297" t="s">
        <v>937</v>
      </c>
      <c r="K2" s="298" t="s">
        <v>937</v>
      </c>
      <c r="L2" s="299" t="s">
        <v>937</v>
      </c>
    </row>
    <row r="3" spans="1:13" ht="25.5" x14ac:dyDescent="0.2">
      <c r="A3" s="300" t="s">
        <v>568</v>
      </c>
      <c r="B3" s="301"/>
      <c r="C3" s="302"/>
      <c r="D3" s="303">
        <v>651952</v>
      </c>
      <c r="E3" s="304">
        <v>750700</v>
      </c>
      <c r="F3" s="304">
        <v>430024</v>
      </c>
      <c r="G3" s="304">
        <v>506971</v>
      </c>
      <c r="H3" s="304">
        <v>277569</v>
      </c>
      <c r="I3" s="304">
        <v>270273</v>
      </c>
      <c r="J3" s="304">
        <v>32886</v>
      </c>
      <c r="K3" s="305">
        <f>C3+D3+E3+F3+G3+H3+I3+J3</f>
        <v>2920375</v>
      </c>
      <c r="L3" s="306">
        <f>D3+E3+F3+G3+H3+I3+J3</f>
        <v>2920375</v>
      </c>
    </row>
    <row r="4" spans="1:13" x14ac:dyDescent="0.2">
      <c r="A4" s="300" t="s">
        <v>569</v>
      </c>
      <c r="B4" s="301"/>
      <c r="C4" s="302"/>
      <c r="D4" s="303">
        <v>31000</v>
      </c>
      <c r="E4" s="304">
        <v>0</v>
      </c>
      <c r="F4" s="304">
        <v>71866</v>
      </c>
      <c r="G4" s="304">
        <v>84378</v>
      </c>
      <c r="H4" s="304">
        <v>45449</v>
      </c>
      <c r="I4" s="304">
        <v>47954</v>
      </c>
      <c r="J4" s="304">
        <v>5086</v>
      </c>
      <c r="K4" s="305">
        <f>C4+D4+E4+F4+G4+H4+I4+J4</f>
        <v>285733</v>
      </c>
      <c r="L4" s="306">
        <f>D4+E4+F4+G4+H4+I4+J4</f>
        <v>285733</v>
      </c>
      <c r="M4" s="785"/>
    </row>
    <row r="5" spans="1:13" x14ac:dyDescent="0.2">
      <c r="A5" s="300" t="s">
        <v>570</v>
      </c>
      <c r="B5" s="301"/>
      <c r="C5" s="302"/>
      <c r="D5" s="303">
        <v>30000</v>
      </c>
      <c r="E5" s="304">
        <v>0</v>
      </c>
      <c r="F5" s="304">
        <v>3931</v>
      </c>
      <c r="G5" s="304">
        <v>2000</v>
      </c>
      <c r="H5" s="304">
        <v>2000</v>
      </c>
      <c r="I5" s="304">
        <v>8497</v>
      </c>
      <c r="J5" s="304">
        <v>1000</v>
      </c>
      <c r="K5" s="305">
        <f>C5+D5+E5+F5+G5+H5+I5+J5</f>
        <v>47428</v>
      </c>
      <c r="L5" s="306">
        <f>D5+E5+F5+G5+H5+I5+J5</f>
        <v>47428</v>
      </c>
    </row>
    <row r="6" spans="1:13" ht="25.5" x14ac:dyDescent="0.2">
      <c r="A6" s="300" t="s">
        <v>571</v>
      </c>
      <c r="B6" s="301"/>
      <c r="C6" s="302"/>
      <c r="D6" s="303">
        <v>1000</v>
      </c>
      <c r="E6" s="304">
        <v>0</v>
      </c>
      <c r="F6" s="304">
        <v>14458</v>
      </c>
      <c r="G6" s="304">
        <v>0</v>
      </c>
      <c r="H6" s="304">
        <v>3300</v>
      </c>
      <c r="I6" s="304">
        <v>0</v>
      </c>
      <c r="J6" s="304">
        <v>2360</v>
      </c>
      <c r="K6" s="305">
        <f>C6+D6+E6+F6+G6+H6+I6+J6</f>
        <v>21118</v>
      </c>
      <c r="L6" s="306">
        <f>D6+E6+F6+G6+H6+I6+J6</f>
        <v>21118</v>
      </c>
    </row>
    <row r="7" spans="1:13" x14ac:dyDescent="0.2">
      <c r="A7" s="300" t="s">
        <v>572</v>
      </c>
      <c r="B7" s="301"/>
      <c r="C7" s="302"/>
      <c r="D7" s="303">
        <f>+[2]kiadások!$Y7/1000</f>
        <v>0</v>
      </c>
      <c r="E7" s="304">
        <v>0</v>
      </c>
      <c r="F7" s="304">
        <v>0</v>
      </c>
      <c r="G7" s="304">
        <v>0</v>
      </c>
      <c r="H7" s="304">
        <v>0</v>
      </c>
      <c r="I7" s="304">
        <v>0</v>
      </c>
      <c r="J7" s="304">
        <v>0</v>
      </c>
      <c r="K7" s="305">
        <f>C7+D7+E7+F7+G7+H7+I7+J7</f>
        <v>0</v>
      </c>
      <c r="L7" s="306">
        <f>D7+E7+F7+G7+H7+I7+J7</f>
        <v>0</v>
      </c>
    </row>
    <row r="8" spans="1:13" x14ac:dyDescent="0.2">
      <c r="A8" s="300" t="s">
        <v>573</v>
      </c>
      <c r="B8" s="301"/>
      <c r="C8" s="302"/>
      <c r="D8" s="303">
        <v>1541</v>
      </c>
      <c r="E8" s="304">
        <v>4600</v>
      </c>
      <c r="F8" s="304">
        <v>933</v>
      </c>
      <c r="G8" s="304">
        <v>6272</v>
      </c>
      <c r="H8" s="304">
        <v>5874</v>
      </c>
      <c r="I8" s="304">
        <v>2680</v>
      </c>
      <c r="J8" s="304">
        <v>0</v>
      </c>
      <c r="K8" s="305">
        <f>C8+D8+E8+F8+G8+H8+I8+J8</f>
        <v>21900</v>
      </c>
      <c r="L8" s="306">
        <f>D8+E8+F8+G8+H8+I8+J8</f>
        <v>21900</v>
      </c>
    </row>
    <row r="9" spans="1:13" x14ac:dyDescent="0.2">
      <c r="A9" s="300" t="s">
        <v>574</v>
      </c>
      <c r="B9" s="301"/>
      <c r="C9" s="302"/>
      <c r="D9" s="303">
        <v>38700</v>
      </c>
      <c r="E9" s="304">
        <v>14000</v>
      </c>
      <c r="F9" s="304">
        <v>24261</v>
      </c>
      <c r="G9" s="304">
        <v>29283</v>
      </c>
      <c r="H9" s="304">
        <v>13826</v>
      </c>
      <c r="I9" s="304">
        <v>14869</v>
      </c>
      <c r="J9" s="304">
        <v>2087</v>
      </c>
      <c r="K9" s="305">
        <f>C9+D9+E9+F9+G9+H9+I9+J9</f>
        <v>137026</v>
      </c>
      <c r="L9" s="306">
        <f>D9+E9+F9+G9+H9+I9+J9</f>
        <v>137026</v>
      </c>
    </row>
    <row r="10" spans="1:13" x14ac:dyDescent="0.2">
      <c r="A10" s="300" t="s">
        <v>575</v>
      </c>
      <c r="B10" s="301"/>
      <c r="C10" s="302"/>
      <c r="D10" s="303">
        <v>500</v>
      </c>
      <c r="E10" s="304">
        <v>0</v>
      </c>
      <c r="F10" s="304">
        <v>0</v>
      </c>
      <c r="G10" s="304">
        <v>0</v>
      </c>
      <c r="H10" s="304">
        <v>5562</v>
      </c>
      <c r="I10" s="304">
        <v>0</v>
      </c>
      <c r="J10" s="304">
        <v>0</v>
      </c>
      <c r="K10" s="305">
        <f>C10+D10+E10+F10+G10+H10+I10+J10</f>
        <v>6062</v>
      </c>
      <c r="L10" s="306">
        <f>D10+E10+F10+G10+H10+I10+J10</f>
        <v>6062</v>
      </c>
    </row>
    <row r="11" spans="1:13" x14ac:dyDescent="0.2">
      <c r="A11" s="300" t="s">
        <v>576</v>
      </c>
      <c r="B11" s="301"/>
      <c r="C11" s="302"/>
      <c r="D11" s="303">
        <v>18000</v>
      </c>
      <c r="E11" s="304">
        <v>2500</v>
      </c>
      <c r="F11" s="304">
        <v>4000</v>
      </c>
      <c r="G11" s="304">
        <v>3746</v>
      </c>
      <c r="H11" s="304">
        <v>2249</v>
      </c>
      <c r="I11" s="304">
        <v>2346</v>
      </c>
      <c r="J11" s="304">
        <v>262</v>
      </c>
      <c r="K11" s="305">
        <f>C11+D11+E11+F11+G11+H11+I11+J11</f>
        <v>33103</v>
      </c>
      <c r="L11" s="306">
        <f>D11+E11+F11+G11+H11+I11+J11</f>
        <v>33103</v>
      </c>
    </row>
    <row r="12" spans="1:13" x14ac:dyDescent="0.2">
      <c r="A12" s="300" t="s">
        <v>577</v>
      </c>
      <c r="B12" s="301"/>
      <c r="C12" s="302"/>
      <c r="D12" s="303">
        <v>5000</v>
      </c>
      <c r="E12" s="304">
        <v>960</v>
      </c>
      <c r="F12" s="304">
        <v>1116</v>
      </c>
      <c r="G12" s="304">
        <v>1956</v>
      </c>
      <c r="H12" s="304">
        <v>786</v>
      </c>
      <c r="I12" s="304">
        <v>932</v>
      </c>
      <c r="J12" s="304">
        <v>196</v>
      </c>
      <c r="K12" s="305">
        <f>C12+D12+E12+F12+G12+H12+I12+J12</f>
        <v>10946</v>
      </c>
      <c r="L12" s="306">
        <f>D12+E12+F12+G12+H12+I12+J12</f>
        <v>10946</v>
      </c>
    </row>
    <row r="13" spans="1:13" x14ac:dyDescent="0.2">
      <c r="A13" s="300" t="s">
        <v>578</v>
      </c>
      <c r="B13" s="301"/>
      <c r="C13" s="302"/>
      <c r="D13" s="303">
        <v>0</v>
      </c>
      <c r="E13" s="304">
        <v>0</v>
      </c>
      <c r="F13" s="304">
        <v>0</v>
      </c>
      <c r="G13" s="304">
        <v>0</v>
      </c>
      <c r="H13" s="304">
        <v>0</v>
      </c>
      <c r="I13" s="304">
        <v>0</v>
      </c>
      <c r="J13" s="304">
        <v>0</v>
      </c>
      <c r="K13" s="305">
        <f>C13+D13+E13+F13+G13+H13+I13+J13</f>
        <v>0</v>
      </c>
      <c r="L13" s="306">
        <f>D13+E13+F13+G13+H13+I13+J13</f>
        <v>0</v>
      </c>
    </row>
    <row r="14" spans="1:13" x14ac:dyDescent="0.2">
      <c r="A14" s="300" t="s">
        <v>579</v>
      </c>
      <c r="B14" s="301"/>
      <c r="C14" s="302"/>
      <c r="D14" s="303">
        <v>1500</v>
      </c>
      <c r="E14" s="304">
        <v>500</v>
      </c>
      <c r="F14" s="304">
        <v>558</v>
      </c>
      <c r="G14" s="304">
        <v>500</v>
      </c>
      <c r="H14" s="304">
        <v>300</v>
      </c>
      <c r="I14" s="304">
        <v>290</v>
      </c>
      <c r="J14" s="304">
        <v>0</v>
      </c>
      <c r="K14" s="305">
        <f>C14+D14+E14+F14+G14+H14+I14+J14</f>
        <v>3648</v>
      </c>
      <c r="L14" s="306">
        <f>D14+E14+F14+G14+H14+I14+J14</f>
        <v>3648</v>
      </c>
    </row>
    <row r="15" spans="1:13" ht="25.5" x14ac:dyDescent="0.2">
      <c r="A15" s="300" t="s">
        <v>580</v>
      </c>
      <c r="B15" s="301"/>
      <c r="C15" s="302"/>
      <c r="D15" s="303">
        <v>27000</v>
      </c>
      <c r="E15" s="304">
        <v>39240</v>
      </c>
      <c r="F15" s="304">
        <v>6500</v>
      </c>
      <c r="G15" s="304">
        <v>0</v>
      </c>
      <c r="H15" s="304">
        <v>0</v>
      </c>
      <c r="I15" s="304">
        <v>0</v>
      </c>
      <c r="J15" s="304">
        <v>0</v>
      </c>
      <c r="K15" s="305">
        <f>C15+D15+E15+F15+G15+H15+I15+J15</f>
        <v>72740</v>
      </c>
      <c r="L15" s="306">
        <f>D15+E15+F15+G15+H15+I15+J15</f>
        <v>72740</v>
      </c>
    </row>
    <row r="16" spans="1:13" s="398" customFormat="1" x14ac:dyDescent="0.2">
      <c r="A16" s="307" t="s">
        <v>581</v>
      </c>
      <c r="B16" s="308"/>
      <c r="C16" s="309"/>
      <c r="D16" s="310"/>
      <c r="E16" s="310"/>
      <c r="F16" s="311"/>
      <c r="G16" s="311"/>
      <c r="H16" s="311"/>
      <c r="I16" s="311"/>
      <c r="J16" s="311"/>
      <c r="K16" s="305">
        <f>C16+D16+E16+F16+G16+H16+I16+J16</f>
        <v>0</v>
      </c>
      <c r="L16" s="306">
        <f>D16+E16+F16+G16+H16+I16+J16</f>
        <v>0</v>
      </c>
    </row>
    <row r="17" spans="1:12" s="399" customFormat="1" ht="25.5" x14ac:dyDescent="0.25">
      <c r="A17" s="312" t="s">
        <v>582</v>
      </c>
      <c r="B17" s="313"/>
      <c r="C17" s="314">
        <f>SUM(C3:C15)</f>
        <v>0</v>
      </c>
      <c r="D17" s="315">
        <f t="shared" ref="D17:J17" si="0">SUM(D3:D15)</f>
        <v>806193</v>
      </c>
      <c r="E17" s="315">
        <f t="shared" si="0"/>
        <v>812500</v>
      </c>
      <c r="F17" s="315">
        <f t="shared" si="0"/>
        <v>557647</v>
      </c>
      <c r="G17" s="315">
        <f t="shared" si="0"/>
        <v>635106</v>
      </c>
      <c r="H17" s="315">
        <f t="shared" si="0"/>
        <v>356915</v>
      </c>
      <c r="I17" s="315">
        <f t="shared" si="0"/>
        <v>347841</v>
      </c>
      <c r="J17" s="315">
        <f t="shared" si="0"/>
        <v>43877</v>
      </c>
      <c r="K17" s="305">
        <f>C17+D17+E17+F17+G17+H17+I17+J17</f>
        <v>3560079</v>
      </c>
      <c r="L17" s="306">
        <f>D17+E17+F17+G17+H17+I17+J17</f>
        <v>3560079</v>
      </c>
    </row>
    <row r="18" spans="1:12" ht="25.5" x14ac:dyDescent="0.2">
      <c r="A18" s="300" t="s">
        <v>583</v>
      </c>
      <c r="B18" s="301"/>
      <c r="C18" s="302">
        <v>120000</v>
      </c>
      <c r="D18" s="316">
        <v>0</v>
      </c>
      <c r="E18" s="317">
        <v>0</v>
      </c>
      <c r="F18" s="304"/>
      <c r="G18" s="304"/>
      <c r="H18" s="304"/>
      <c r="I18" s="304"/>
      <c r="J18" s="304"/>
      <c r="K18" s="305">
        <f>C18+D18+E18+F18+G18+H18+I18+J18</f>
        <v>120000</v>
      </c>
      <c r="L18" s="306">
        <f>D18+E18+F18+G18+H18+I18+J18</f>
        <v>0</v>
      </c>
    </row>
    <row r="19" spans="1:12" ht="51" x14ac:dyDescent="0.2">
      <c r="A19" s="300" t="s">
        <v>584</v>
      </c>
      <c r="B19" s="301"/>
      <c r="C19" s="302">
        <v>83926</v>
      </c>
      <c r="D19" s="303">
        <v>18400</v>
      </c>
      <c r="E19" s="317">
        <v>0</v>
      </c>
      <c r="F19" s="304">
        <v>23950</v>
      </c>
      <c r="G19" s="304">
        <v>3600</v>
      </c>
      <c r="H19" s="304">
        <v>3384</v>
      </c>
      <c r="I19" s="304">
        <v>4675</v>
      </c>
      <c r="J19" s="304">
        <v>3200</v>
      </c>
      <c r="K19" s="305">
        <f>C19+D19+E19+F19+G19+H19+I19+J19</f>
        <v>141135</v>
      </c>
      <c r="L19" s="306">
        <f>D19+E19+F19+G19+H19+I19+J19</f>
        <v>57209</v>
      </c>
    </row>
    <row r="20" spans="1:12" x14ac:dyDescent="0.2">
      <c r="A20" s="300" t="s">
        <v>585</v>
      </c>
      <c r="B20" s="301"/>
      <c r="C20" s="302">
        <v>47100</v>
      </c>
      <c r="D20" s="303">
        <v>5100</v>
      </c>
      <c r="E20" s="317">
        <v>500</v>
      </c>
      <c r="F20" s="304">
        <v>2140</v>
      </c>
      <c r="G20" s="304">
        <v>3000</v>
      </c>
      <c r="H20" s="304">
        <v>1000</v>
      </c>
      <c r="I20" s="304">
        <v>2038</v>
      </c>
      <c r="J20" s="304">
        <v>600</v>
      </c>
      <c r="K20" s="305">
        <f>C20+D20+E20+F20+G20+H20+I20+J20</f>
        <v>61478</v>
      </c>
      <c r="L20" s="306">
        <f>D20+E20+F20+G20+H20+I20+J20</f>
        <v>14378</v>
      </c>
    </row>
    <row r="21" spans="1:12" s="399" customFormat="1" ht="25.5" x14ac:dyDescent="0.25">
      <c r="A21" s="312" t="s">
        <v>586</v>
      </c>
      <c r="B21" s="313"/>
      <c r="C21" s="318">
        <f>SUM(C18:C20)</f>
        <v>251026</v>
      </c>
      <c r="D21" s="319">
        <f t="shared" ref="D21:J21" si="1">SUM(D18:D20)</f>
        <v>23500</v>
      </c>
      <c r="E21" s="319">
        <f t="shared" si="1"/>
        <v>500</v>
      </c>
      <c r="F21" s="319">
        <f t="shared" si="1"/>
        <v>26090</v>
      </c>
      <c r="G21" s="319">
        <f t="shared" si="1"/>
        <v>6600</v>
      </c>
      <c r="H21" s="319">
        <f t="shared" si="1"/>
        <v>4384</v>
      </c>
      <c r="I21" s="319">
        <f t="shared" si="1"/>
        <v>6713</v>
      </c>
      <c r="J21" s="319">
        <f t="shared" si="1"/>
        <v>3800</v>
      </c>
      <c r="K21" s="305">
        <f>C21+D21+E21+F21+G21+H21+I21+J21</f>
        <v>322613</v>
      </c>
      <c r="L21" s="306">
        <f>D21+E21+F21+G21+H21+I21+J21</f>
        <v>71587</v>
      </c>
    </row>
    <row r="22" spans="1:12" s="399" customFormat="1" ht="27" customHeight="1" x14ac:dyDescent="0.25">
      <c r="A22" s="312" t="s">
        <v>587</v>
      </c>
      <c r="B22" s="313" t="s">
        <v>21</v>
      </c>
      <c r="C22" s="318">
        <f>C21+C17</f>
        <v>251026</v>
      </c>
      <c r="D22" s="319">
        <f t="shared" ref="D22:J22" si="2">D21+D17</f>
        <v>829693</v>
      </c>
      <c r="E22" s="319">
        <f t="shared" si="2"/>
        <v>813000</v>
      </c>
      <c r="F22" s="319">
        <f t="shared" si="2"/>
        <v>583737</v>
      </c>
      <c r="G22" s="319">
        <f t="shared" si="2"/>
        <v>641706</v>
      </c>
      <c r="H22" s="319">
        <f t="shared" si="2"/>
        <v>361299</v>
      </c>
      <c r="I22" s="319">
        <f t="shared" si="2"/>
        <v>354554</v>
      </c>
      <c r="J22" s="319">
        <f t="shared" si="2"/>
        <v>47677</v>
      </c>
      <c r="K22" s="327">
        <f>C22+D22+E22+F22+G22+H22+I22+J22</f>
        <v>3882692</v>
      </c>
      <c r="L22" s="306">
        <f>D22+E22+F22+G22+H22+I22+J22</f>
        <v>3631666</v>
      </c>
    </row>
    <row r="23" spans="1:12" s="399" customFormat="1" ht="38.25" x14ac:dyDescent="0.25">
      <c r="A23" s="312" t="s">
        <v>588</v>
      </c>
      <c r="B23" s="313" t="s">
        <v>22</v>
      </c>
      <c r="C23" s="318">
        <f>SUM(C24:C29)</f>
        <v>46558</v>
      </c>
      <c r="D23" s="319">
        <f t="shared" ref="D23:J23" si="3">SUM(D24:D29)</f>
        <v>110460</v>
      </c>
      <c r="E23" s="319">
        <f t="shared" si="3"/>
        <v>113000</v>
      </c>
      <c r="F23" s="319">
        <f t="shared" si="3"/>
        <v>83477</v>
      </c>
      <c r="G23" s="319">
        <f t="shared" si="3"/>
        <v>95116</v>
      </c>
      <c r="H23" s="319">
        <f t="shared" si="3"/>
        <v>52454</v>
      </c>
      <c r="I23" s="319">
        <f t="shared" si="3"/>
        <v>53583</v>
      </c>
      <c r="J23" s="319">
        <f t="shared" si="3"/>
        <v>6523</v>
      </c>
      <c r="K23" s="327">
        <f>C23+D23+E23+F23+G23+H23+I23+J23</f>
        <v>561171</v>
      </c>
      <c r="L23" s="306">
        <f>D23+E23+F23+G23+H23+I23+J23</f>
        <v>514613</v>
      </c>
    </row>
    <row r="24" spans="1:12" s="400" customFormat="1" ht="25.5" x14ac:dyDescent="0.2">
      <c r="A24" s="307" t="s">
        <v>589</v>
      </c>
      <c r="B24" s="320"/>
      <c r="C24" s="302">
        <v>45654</v>
      </c>
      <c r="D24" s="321">
        <v>100414</v>
      </c>
      <c r="E24" s="321">
        <v>104800</v>
      </c>
      <c r="F24" s="321">
        <v>72277</v>
      </c>
      <c r="G24" s="321">
        <v>83032</v>
      </c>
      <c r="H24" s="321">
        <v>46843</v>
      </c>
      <c r="I24" s="321">
        <v>45917</v>
      </c>
      <c r="J24" s="321">
        <v>6120</v>
      </c>
      <c r="K24" s="305">
        <f>C24+D24+E24+F24+G24+H24+I24+J24</f>
        <v>505057</v>
      </c>
      <c r="L24" s="306">
        <f>D24+E24+F24+G24+H24+I24+J24</f>
        <v>459403</v>
      </c>
    </row>
    <row r="25" spans="1:12" s="400" customFormat="1" ht="25.5" x14ac:dyDescent="0.2">
      <c r="A25" s="307" t="s">
        <v>590</v>
      </c>
      <c r="B25" s="320"/>
      <c r="C25" s="302">
        <v>904</v>
      </c>
      <c r="D25" s="321">
        <v>9346</v>
      </c>
      <c r="E25" s="321">
        <v>5000</v>
      </c>
      <c r="F25" s="321">
        <v>7200</v>
      </c>
      <c r="G25" s="321">
        <v>10170</v>
      </c>
      <c r="H25" s="321">
        <f>+'[3]3. melléklet'!$P24</f>
        <v>4770</v>
      </c>
      <c r="I25" s="321">
        <v>5130</v>
      </c>
      <c r="J25" s="323"/>
      <c r="K25" s="305">
        <f>C25+D25+E25+F25+G25+H25+I25+J25</f>
        <v>42520</v>
      </c>
      <c r="L25" s="306">
        <f>D25+E25+F25+G25+H25+I25+J25</f>
        <v>41616</v>
      </c>
    </row>
    <row r="26" spans="1:12" s="401" customFormat="1" x14ac:dyDescent="0.2">
      <c r="A26" s="307" t="s">
        <v>591</v>
      </c>
      <c r="B26" s="324"/>
      <c r="C26" s="322"/>
      <c r="D26" s="321"/>
      <c r="E26" s="321"/>
      <c r="F26" s="323"/>
      <c r="G26" s="323"/>
      <c r="H26" s="323"/>
      <c r="I26" s="323"/>
      <c r="J26" s="323"/>
      <c r="K26" s="305">
        <f>C26+D26+E26+F26+G26+H26+I26+J26</f>
        <v>0</v>
      </c>
      <c r="L26" s="306">
        <f>D26+E26+F26+G26+H26+I26+J26</f>
        <v>0</v>
      </c>
    </row>
    <row r="27" spans="1:12" s="400" customFormat="1" x14ac:dyDescent="0.2">
      <c r="A27" s="307" t="s">
        <v>592</v>
      </c>
      <c r="B27" s="320"/>
      <c r="C27" s="322"/>
      <c r="D27" s="321">
        <v>200</v>
      </c>
      <c r="E27" s="321">
        <v>1000</v>
      </c>
      <c r="F27" s="323"/>
      <c r="G27" s="323"/>
      <c r="H27" s="323"/>
      <c r="I27" s="323"/>
      <c r="J27" s="323"/>
      <c r="K27" s="305">
        <f>C27+D27+E27+F27+G27+H27+I27+J27</f>
        <v>1200</v>
      </c>
      <c r="L27" s="306">
        <f>D27+E27+F27+G27+H27+I27+J27</f>
        <v>1200</v>
      </c>
    </row>
    <row r="28" spans="1:12" s="402" customFormat="1" ht="51" x14ac:dyDescent="0.25">
      <c r="A28" s="307" t="s">
        <v>593</v>
      </c>
      <c r="B28" s="320"/>
      <c r="C28" s="302">
        <v>0</v>
      </c>
      <c r="D28" s="321">
        <v>500</v>
      </c>
      <c r="E28" s="321"/>
      <c r="F28" s="321"/>
      <c r="G28" s="321"/>
      <c r="H28" s="321"/>
      <c r="I28" s="321"/>
      <c r="J28" s="321"/>
      <c r="K28" s="305">
        <f>C28+D28+E28+F28+G28+H28+I28+J28</f>
        <v>500</v>
      </c>
      <c r="L28" s="306">
        <f>D28+E28+F28+G28+H28+I28+J28</f>
        <v>500</v>
      </c>
    </row>
    <row r="29" spans="1:12" s="402" customFormat="1" ht="25.5" x14ac:dyDescent="0.25">
      <c r="A29" s="307" t="s">
        <v>594</v>
      </c>
      <c r="B29" s="320"/>
      <c r="C29" s="322"/>
      <c r="D29" s="325"/>
      <c r="E29" s="321">
        <v>2200</v>
      </c>
      <c r="F29" s="321">
        <v>4000</v>
      </c>
      <c r="G29" s="321">
        <v>1914</v>
      </c>
      <c r="H29" s="321">
        <v>841</v>
      </c>
      <c r="I29" s="321">
        <v>2536</v>
      </c>
      <c r="J29" s="321">
        <v>403</v>
      </c>
      <c r="K29" s="305">
        <f>C29+D29+E29+F29+G29+H29+I29+J29</f>
        <v>11894</v>
      </c>
      <c r="L29" s="306">
        <f>D29+E29+F29+G29+H29+I29+J29</f>
        <v>11894</v>
      </c>
    </row>
    <row r="30" spans="1:12" s="403" customFormat="1" x14ac:dyDescent="0.2">
      <c r="A30" s="300" t="s">
        <v>595</v>
      </c>
      <c r="B30" s="301"/>
      <c r="C30" s="302">
        <v>19000</v>
      </c>
      <c r="D30" s="303">
        <f>-500+3000</f>
        <v>2500</v>
      </c>
      <c r="E30" s="304">
        <v>13710</v>
      </c>
      <c r="F30" s="326">
        <v>500</v>
      </c>
      <c r="G30" s="326">
        <v>5000</v>
      </c>
      <c r="H30" s="326">
        <v>1800</v>
      </c>
      <c r="I30" s="326">
        <v>1994</v>
      </c>
      <c r="J30" s="326">
        <v>750</v>
      </c>
      <c r="K30" s="305">
        <f>C30+D30+E30+F30+G30+H30+I30+J30</f>
        <v>45254</v>
      </c>
      <c r="L30" s="306">
        <f>D30+E30+F30+G30+H30+I30+J30</f>
        <v>26254</v>
      </c>
    </row>
    <row r="31" spans="1:12" ht="25.5" x14ac:dyDescent="0.2">
      <c r="A31" s="300" t="s">
        <v>596</v>
      </c>
      <c r="B31" s="301"/>
      <c r="C31" s="302">
        <v>27011</v>
      </c>
      <c r="D31" s="303">
        <f>-5000+20118</f>
        <v>15118</v>
      </c>
      <c r="E31" s="304">
        <v>5690</v>
      </c>
      <c r="F31" s="326">
        <v>39320</v>
      </c>
      <c r="G31" s="326">
        <v>11808</v>
      </c>
      <c r="H31" s="326">
        <v>22481</v>
      </c>
      <c r="I31" s="326">
        <v>9363</v>
      </c>
      <c r="J31" s="326">
        <v>2660</v>
      </c>
      <c r="K31" s="305">
        <f>C31+D31+E31+F31+G31+H31+I31+J31</f>
        <v>133451</v>
      </c>
      <c r="L31" s="306">
        <f>D31+E31+F31+G31+H31+I31+J31</f>
        <v>106440</v>
      </c>
    </row>
    <row r="32" spans="1:12" x14ac:dyDescent="0.2">
      <c r="A32" s="300" t="s">
        <v>597</v>
      </c>
      <c r="B32" s="301"/>
      <c r="C32" s="302">
        <v>0</v>
      </c>
      <c r="D32" s="303"/>
      <c r="E32" s="304"/>
      <c r="F32" s="304"/>
      <c r="G32" s="304"/>
      <c r="H32" s="304"/>
      <c r="I32" s="304"/>
      <c r="J32" s="304"/>
      <c r="K32" s="305">
        <f>C32+D32+E32+F32+G32+H32+I32+J32</f>
        <v>0</v>
      </c>
      <c r="L32" s="306">
        <f>D32+E32+F32+G32+H32+I32+J32</f>
        <v>0</v>
      </c>
    </row>
    <row r="33" spans="1:12" s="399" customFormat="1" x14ac:dyDescent="0.25">
      <c r="A33" s="312" t="s">
        <v>598</v>
      </c>
      <c r="B33" s="313"/>
      <c r="C33" s="318">
        <f>SUM(C30:C32)</f>
        <v>46011</v>
      </c>
      <c r="D33" s="319">
        <f t="shared" ref="D33:J33" si="4">SUM(D30:D32)</f>
        <v>17618</v>
      </c>
      <c r="E33" s="319">
        <f t="shared" si="4"/>
        <v>19400</v>
      </c>
      <c r="F33" s="319">
        <f t="shared" si="4"/>
        <v>39820</v>
      </c>
      <c r="G33" s="319">
        <f t="shared" si="4"/>
        <v>16808</v>
      </c>
      <c r="H33" s="319">
        <f t="shared" si="4"/>
        <v>24281</v>
      </c>
      <c r="I33" s="319">
        <f t="shared" si="4"/>
        <v>11357</v>
      </c>
      <c r="J33" s="319">
        <f t="shared" si="4"/>
        <v>3410</v>
      </c>
      <c r="K33" s="327">
        <f>C33+D33+E33+F33+G33+H33+I33+J33</f>
        <v>178705</v>
      </c>
      <c r="L33" s="328">
        <f>D33+E33+F33+G33+H33+I33+J33</f>
        <v>132694</v>
      </c>
    </row>
    <row r="34" spans="1:12" ht="27" customHeight="1" x14ac:dyDescent="0.2">
      <c r="A34" s="300" t="s">
        <v>599</v>
      </c>
      <c r="B34" s="301"/>
      <c r="C34" s="302">
        <v>44551</v>
      </c>
      <c r="D34" s="303">
        <v>50011</v>
      </c>
      <c r="E34" s="304">
        <v>11489</v>
      </c>
      <c r="F34" s="326">
        <f>7700+17490</f>
        <v>25190</v>
      </c>
      <c r="G34" s="326">
        <v>1700</v>
      </c>
      <c r="H34" s="326">
        <v>1200</v>
      </c>
      <c r="I34" s="326">
        <v>3549</v>
      </c>
      <c r="J34" s="326">
        <v>240</v>
      </c>
      <c r="K34" s="305">
        <f>C34+D34+E34+F34+G34+H34+I34+J34</f>
        <v>137930</v>
      </c>
      <c r="L34" s="306">
        <f>D34+E34+F34+G34+H34+I34+J34</f>
        <v>93379</v>
      </c>
    </row>
    <row r="35" spans="1:12" ht="26.25" customHeight="1" x14ac:dyDescent="0.2">
      <c r="A35" s="300" t="s">
        <v>600</v>
      </c>
      <c r="B35" s="301"/>
      <c r="C35" s="302">
        <v>3937</v>
      </c>
      <c r="D35" s="303">
        <v>11755</v>
      </c>
      <c r="E35" s="304">
        <v>3424</v>
      </c>
      <c r="F35" s="326">
        <v>2400</v>
      </c>
      <c r="G35" s="326">
        <v>1300</v>
      </c>
      <c r="H35" s="326">
        <v>600</v>
      </c>
      <c r="I35" s="326">
        <v>3295</v>
      </c>
      <c r="J35" s="326">
        <v>300</v>
      </c>
      <c r="K35" s="305">
        <f>C35+D35+E35+F35+G35+H35+I35+J35</f>
        <v>27011</v>
      </c>
      <c r="L35" s="306">
        <f>D35+E35+F35+G35+H35+I35+J35</f>
        <v>23074</v>
      </c>
    </row>
    <row r="36" spans="1:12" s="399" customFormat="1" ht="25.5" x14ac:dyDescent="0.25">
      <c r="A36" s="312" t="s">
        <v>601</v>
      </c>
      <c r="B36" s="313"/>
      <c r="C36" s="318">
        <f>SUM(C34:C35)</f>
        <v>48488</v>
      </c>
      <c r="D36" s="319">
        <f t="shared" ref="D36:J36" si="5">SUM(D34:D35)</f>
        <v>61766</v>
      </c>
      <c r="E36" s="319">
        <f t="shared" si="5"/>
        <v>14913</v>
      </c>
      <c r="F36" s="319">
        <f t="shared" si="5"/>
        <v>27590</v>
      </c>
      <c r="G36" s="319">
        <f t="shared" si="5"/>
        <v>3000</v>
      </c>
      <c r="H36" s="319">
        <f t="shared" si="5"/>
        <v>1800</v>
      </c>
      <c r="I36" s="319">
        <f t="shared" si="5"/>
        <v>6844</v>
      </c>
      <c r="J36" s="319">
        <f t="shared" si="5"/>
        <v>540</v>
      </c>
      <c r="K36" s="327">
        <f>C36+D36+E36+F36+G36+H36+I36+J36</f>
        <v>164941</v>
      </c>
      <c r="L36" s="328">
        <f>D36+E36+F36+G36+H36+I36+J36</f>
        <v>116453</v>
      </c>
    </row>
    <row r="37" spans="1:12" x14ac:dyDescent="0.2">
      <c r="A37" s="300" t="s">
        <v>602</v>
      </c>
      <c r="B37" s="301"/>
      <c r="C37" s="302">
        <f>-40000+100252</f>
        <v>60252</v>
      </c>
      <c r="D37" s="303">
        <v>27000</v>
      </c>
      <c r="E37" s="304">
        <v>16184</v>
      </c>
      <c r="F37" s="326">
        <v>44800</v>
      </c>
      <c r="G37" s="326">
        <v>18000</v>
      </c>
      <c r="H37" s="326">
        <v>7000</v>
      </c>
      <c r="I37" s="326">
        <v>5319</v>
      </c>
      <c r="J37" s="326">
        <v>3000</v>
      </c>
      <c r="K37" s="305">
        <f>C37+D37+E37+F37+G37+H37+I37+J37</f>
        <v>181555</v>
      </c>
      <c r="L37" s="306">
        <f>D37+E37+F37+G37+H37+I37+J37</f>
        <v>121303</v>
      </c>
    </row>
    <row r="38" spans="1:12" x14ac:dyDescent="0.2">
      <c r="A38" s="300" t="s">
        <v>603</v>
      </c>
      <c r="B38" s="301"/>
      <c r="C38" s="302">
        <v>0</v>
      </c>
      <c r="D38" s="303"/>
      <c r="E38" s="304"/>
      <c r="F38" s="326">
        <v>150129</v>
      </c>
      <c r="G38" s="326">
        <v>53820</v>
      </c>
      <c r="H38" s="326">
        <v>0</v>
      </c>
      <c r="I38" s="326">
        <v>31123</v>
      </c>
      <c r="J38" s="326">
        <v>0</v>
      </c>
      <c r="K38" s="305">
        <f>C38+D38+E38+F38+G38+H38+I38+J38</f>
        <v>235072</v>
      </c>
      <c r="L38" s="306">
        <f>D38+E38+F38+G38+H38+I38+J38</f>
        <v>235072</v>
      </c>
    </row>
    <row r="39" spans="1:12" x14ac:dyDescent="0.2">
      <c r="A39" s="300" t="s">
        <v>604</v>
      </c>
      <c r="B39" s="301"/>
      <c r="C39" s="302">
        <v>430</v>
      </c>
      <c r="D39" s="303">
        <v>1500</v>
      </c>
      <c r="E39" s="304">
        <v>1363</v>
      </c>
      <c r="F39" s="326">
        <v>6051</v>
      </c>
      <c r="G39" s="326">
        <v>900</v>
      </c>
      <c r="H39" s="326">
        <v>735</v>
      </c>
      <c r="I39" s="326">
        <v>3054</v>
      </c>
      <c r="J39" s="326">
        <v>300</v>
      </c>
      <c r="K39" s="305">
        <f>C39+D39+E39+F39+G39+H39+I39+J39</f>
        <v>14333</v>
      </c>
      <c r="L39" s="306">
        <f>D39+E39+F39+G39+H39+I39+J39</f>
        <v>13903</v>
      </c>
    </row>
    <row r="40" spans="1:12" ht="25.5" x14ac:dyDescent="0.2">
      <c r="A40" s="300" t="s">
        <v>605</v>
      </c>
      <c r="B40" s="301"/>
      <c r="C40" s="302">
        <f>73228</f>
        <v>73228</v>
      </c>
      <c r="D40" s="303">
        <v>20000</v>
      </c>
      <c r="E40" s="304">
        <v>12999</v>
      </c>
      <c r="F40" s="326">
        <v>783541</v>
      </c>
      <c r="G40" s="326">
        <v>8144</v>
      </c>
      <c r="H40" s="326">
        <v>4915</v>
      </c>
      <c r="I40" s="326">
        <v>4508</v>
      </c>
      <c r="J40" s="326">
        <v>1600</v>
      </c>
      <c r="K40" s="305">
        <f>C40+D40+E40+F40+G40+H40+I40+J40</f>
        <v>908935</v>
      </c>
      <c r="L40" s="306">
        <f>D40+E40+F40+G40+H40+I40+J40</f>
        <v>835707</v>
      </c>
    </row>
    <row r="41" spans="1:12" ht="25.5" x14ac:dyDescent="0.2">
      <c r="A41" s="300" t="s">
        <v>606</v>
      </c>
      <c r="B41" s="301"/>
      <c r="C41" s="302">
        <v>6000</v>
      </c>
      <c r="D41" s="303">
        <v>50</v>
      </c>
      <c r="E41" s="304"/>
      <c r="F41" s="326">
        <v>93840</v>
      </c>
      <c r="G41" s="326">
        <v>4837</v>
      </c>
      <c r="H41" s="326">
        <v>0</v>
      </c>
      <c r="I41" s="326">
        <v>0</v>
      </c>
      <c r="J41" s="326">
        <v>0</v>
      </c>
      <c r="K41" s="305">
        <f>C41+D41+E41+F41+G41+H41+I41+J41</f>
        <v>104727</v>
      </c>
      <c r="L41" s="306">
        <f>D41+E41+F41+G41+H41+I41+J41</f>
        <v>98727</v>
      </c>
    </row>
    <row r="42" spans="1:12" s="398" customFormat="1" x14ac:dyDescent="0.2">
      <c r="A42" s="307" t="s">
        <v>607</v>
      </c>
      <c r="B42" s="308"/>
      <c r="C42" s="309"/>
      <c r="D42" s="310"/>
      <c r="E42" s="310"/>
      <c r="F42" s="311"/>
      <c r="G42" s="311"/>
      <c r="H42" s="311"/>
      <c r="I42" s="311"/>
      <c r="J42" s="311"/>
      <c r="K42" s="305">
        <f>C42+D42+E42+F42+G42+H42+I42+J42</f>
        <v>0</v>
      </c>
      <c r="L42" s="306">
        <f>D42+E42+F42+G42+H42+I42+J42</f>
        <v>0</v>
      </c>
    </row>
    <row r="43" spans="1:12" ht="25.5" x14ac:dyDescent="0.2">
      <c r="A43" s="300" t="s">
        <v>608</v>
      </c>
      <c r="B43" s="301"/>
      <c r="C43" s="302">
        <v>59480</v>
      </c>
      <c r="D43" s="303">
        <v>55000</v>
      </c>
      <c r="E43" s="304">
        <v>136342</v>
      </c>
      <c r="F43" s="326">
        <v>196318</v>
      </c>
      <c r="G43" s="326">
        <v>8000</v>
      </c>
      <c r="H43" s="326">
        <v>2000</v>
      </c>
      <c r="I43" s="326">
        <v>7594</v>
      </c>
      <c r="J43" s="326">
        <v>1250</v>
      </c>
      <c r="K43" s="305">
        <f>C43+D43+E43+F43+G43+H43+I43+J43</f>
        <v>465984</v>
      </c>
      <c r="L43" s="306">
        <f>D43+E43+F43+G43+H43+I43+J43</f>
        <v>406504</v>
      </c>
    </row>
    <row r="44" spans="1:12" x14ac:dyDescent="0.2">
      <c r="A44" s="300" t="s">
        <v>609</v>
      </c>
      <c r="B44" s="301"/>
      <c r="C44" s="302">
        <f>1035698+65000-1000</f>
        <v>1099698</v>
      </c>
      <c r="D44" s="303">
        <v>66480</v>
      </c>
      <c r="E44" s="304">
        <v>18333</v>
      </c>
      <c r="F44" s="326">
        <v>315002</v>
      </c>
      <c r="G44" s="326">
        <v>13581</v>
      </c>
      <c r="H44" s="326">
        <v>7997</v>
      </c>
      <c r="I44" s="326">
        <v>7707</v>
      </c>
      <c r="J44" s="326">
        <v>4286</v>
      </c>
      <c r="K44" s="305">
        <f>C44+D44+E44+F44+G44+H44+I44+J44</f>
        <v>1533084</v>
      </c>
      <c r="L44" s="306">
        <f>D44+E44+F44+G44+H44+I44+J44</f>
        <v>433386</v>
      </c>
    </row>
    <row r="45" spans="1:12" s="398" customFormat="1" x14ac:dyDescent="0.2">
      <c r="A45" s="307" t="s">
        <v>610</v>
      </c>
      <c r="B45" s="308"/>
      <c r="C45" s="309"/>
      <c r="D45" s="310"/>
      <c r="E45" s="310"/>
      <c r="F45" s="311"/>
      <c r="G45" s="311"/>
      <c r="H45" s="311"/>
      <c r="I45" s="311"/>
      <c r="J45" s="311"/>
      <c r="K45" s="305">
        <f>C45+D45+E45+F45+G45+H45+I45+J45</f>
        <v>0</v>
      </c>
      <c r="L45" s="306">
        <f>D45+E45+F45+G45+H45+I45+J45</f>
        <v>0</v>
      </c>
    </row>
    <row r="46" spans="1:12" s="399" customFormat="1" ht="25.5" x14ac:dyDescent="0.25">
      <c r="A46" s="312" t="s">
        <v>611</v>
      </c>
      <c r="B46" s="313"/>
      <c r="C46" s="318">
        <f t="shared" ref="C46:J46" si="6">C44+C43+C41+C40+C39+C38+C37</f>
        <v>1299088</v>
      </c>
      <c r="D46" s="319">
        <f t="shared" si="6"/>
        <v>170030</v>
      </c>
      <c r="E46" s="319">
        <f t="shared" si="6"/>
        <v>185221</v>
      </c>
      <c r="F46" s="319">
        <f t="shared" si="6"/>
        <v>1589681</v>
      </c>
      <c r="G46" s="319">
        <f t="shared" si="6"/>
        <v>107282</v>
      </c>
      <c r="H46" s="319">
        <f t="shared" si="6"/>
        <v>22647</v>
      </c>
      <c r="I46" s="319">
        <f t="shared" si="6"/>
        <v>59305</v>
      </c>
      <c r="J46" s="319">
        <f t="shared" si="6"/>
        <v>10436</v>
      </c>
      <c r="K46" s="327">
        <f>C46+D46+E46+F46+G46+H46+I46+J46</f>
        <v>3443690</v>
      </c>
      <c r="L46" s="328">
        <f>D46+E46+F46+G46+H46+I46+J46</f>
        <v>2144602</v>
      </c>
    </row>
    <row r="47" spans="1:12" x14ac:dyDescent="0.2">
      <c r="A47" s="300" t="s">
        <v>612</v>
      </c>
      <c r="B47" s="301"/>
      <c r="C47" s="302">
        <v>2767</v>
      </c>
      <c r="D47" s="303">
        <v>50</v>
      </c>
      <c r="E47" s="304">
        <v>200</v>
      </c>
      <c r="F47" s="304"/>
      <c r="G47" s="304"/>
      <c r="H47" s="304"/>
      <c r="I47" s="304"/>
      <c r="J47" s="304"/>
      <c r="K47" s="305">
        <f>C47+D47+E47+F47+G47+H47+I47+J47</f>
        <v>3017</v>
      </c>
      <c r="L47" s="306">
        <f>D47+E47+F47+G47+H47+I47+J47</f>
        <v>250</v>
      </c>
    </row>
    <row r="48" spans="1:12" x14ac:dyDescent="0.2">
      <c r="A48" s="300" t="s">
        <v>613</v>
      </c>
      <c r="B48" s="301"/>
      <c r="C48" s="302">
        <v>7874</v>
      </c>
      <c r="D48" s="303">
        <v>2500</v>
      </c>
      <c r="E48" s="311"/>
      <c r="F48" s="304"/>
      <c r="G48" s="304"/>
      <c r="H48" s="304"/>
      <c r="I48" s="304"/>
      <c r="J48" s="304"/>
      <c r="K48" s="305">
        <f>C48+D48+E48+F48+G48+H48+I48+J48</f>
        <v>10374</v>
      </c>
      <c r="L48" s="306">
        <f>D48+E48+F48+G48+H48+I48+J48</f>
        <v>2500</v>
      </c>
    </row>
    <row r="49" spans="1:12" s="399" customFormat="1" ht="25.5" x14ac:dyDescent="0.25">
      <c r="A49" s="312" t="s">
        <v>614</v>
      </c>
      <c r="B49" s="313"/>
      <c r="C49" s="318">
        <f>SUM(C47:C48)</f>
        <v>10641</v>
      </c>
      <c r="D49" s="319">
        <f t="shared" ref="D49:J49" si="7">SUM(D47:D48)</f>
        <v>2550</v>
      </c>
      <c r="E49" s="319">
        <f t="shared" si="7"/>
        <v>200</v>
      </c>
      <c r="F49" s="319">
        <f t="shared" si="7"/>
        <v>0</v>
      </c>
      <c r="G49" s="319">
        <f t="shared" si="7"/>
        <v>0</v>
      </c>
      <c r="H49" s="319">
        <f t="shared" si="7"/>
        <v>0</v>
      </c>
      <c r="I49" s="319">
        <f t="shared" si="7"/>
        <v>0</v>
      </c>
      <c r="J49" s="319">
        <f t="shared" si="7"/>
        <v>0</v>
      </c>
      <c r="K49" s="327">
        <f>C49+D49+E49+F49+G49+H49+I49+J49</f>
        <v>13391</v>
      </c>
      <c r="L49" s="328">
        <f>D49+E49+F49+G49+H49+I49+J49</f>
        <v>2750</v>
      </c>
    </row>
    <row r="50" spans="1:12" ht="25.5" x14ac:dyDescent="0.2">
      <c r="A50" s="300" t="s">
        <v>615</v>
      </c>
      <c r="B50" s="301"/>
      <c r="C50" s="302">
        <v>369789</v>
      </c>
      <c r="D50" s="303">
        <f>-10000+68800</f>
        <v>58800</v>
      </c>
      <c r="E50" s="304">
        <v>20750</v>
      </c>
      <c r="F50" s="326">
        <v>447415</v>
      </c>
      <c r="G50" s="326">
        <v>34029</v>
      </c>
      <c r="H50" s="326">
        <v>12981</v>
      </c>
      <c r="I50" s="326">
        <v>20671</v>
      </c>
      <c r="J50" s="326">
        <v>3837</v>
      </c>
      <c r="K50" s="305">
        <f>C50+D50+E50+F50+G50+H50+I50+J50</f>
        <v>968272</v>
      </c>
      <c r="L50" s="306">
        <f>D50+E50+F50+G50+H50+I50+J50</f>
        <v>598483</v>
      </c>
    </row>
    <row r="51" spans="1:12" x14ac:dyDescent="0.2">
      <c r="A51" s="300" t="s">
        <v>616</v>
      </c>
      <c r="B51" s="301"/>
      <c r="C51" s="302">
        <v>400000</v>
      </c>
      <c r="D51" s="303">
        <v>5000</v>
      </c>
      <c r="E51" s="304">
        <v>1917</v>
      </c>
      <c r="F51" s="326">
        <v>90000</v>
      </c>
      <c r="G51" s="326">
        <v>1800</v>
      </c>
      <c r="H51" s="326">
        <v>1104</v>
      </c>
      <c r="I51" s="326">
        <v>3687</v>
      </c>
      <c r="J51" s="326">
        <v>0</v>
      </c>
      <c r="K51" s="305">
        <f>C51+D51+E51+F51+G51+H51+I51+J51</f>
        <v>503508</v>
      </c>
      <c r="L51" s="306">
        <f>D51+E51+F51+G51+H51+I51+J51</f>
        <v>103508</v>
      </c>
    </row>
    <row r="52" spans="1:12" x14ac:dyDescent="0.2">
      <c r="A52" s="300" t="s">
        <v>617</v>
      </c>
      <c r="B52" s="301"/>
      <c r="C52" s="302"/>
      <c r="D52" s="316"/>
      <c r="E52" s="316"/>
      <c r="F52" s="326">
        <v>0</v>
      </c>
      <c r="G52" s="326">
        <v>0</v>
      </c>
      <c r="H52" s="326">
        <v>0</v>
      </c>
      <c r="I52" s="326">
        <v>0</v>
      </c>
      <c r="J52" s="326">
        <v>0</v>
      </c>
      <c r="K52" s="305">
        <f>C52+D52+E52+F52+G52+H52+I52+J52</f>
        <v>0</v>
      </c>
      <c r="L52" s="306">
        <f>D52+E52+F52+G52+H52+I52+J52</f>
        <v>0</v>
      </c>
    </row>
    <row r="53" spans="1:12" s="398" customFormat="1" hidden="1" x14ac:dyDescent="0.2">
      <c r="A53" s="307" t="s">
        <v>618</v>
      </c>
      <c r="B53" s="308"/>
      <c r="C53" s="309"/>
      <c r="D53" s="310"/>
      <c r="E53" s="310"/>
      <c r="F53" s="311"/>
      <c r="G53" s="311"/>
      <c r="H53" s="311"/>
      <c r="I53" s="311"/>
      <c r="J53" s="311"/>
      <c r="K53" s="305">
        <f>C53+D53+E53+F53+G53+H53+I53+J53</f>
        <v>0</v>
      </c>
      <c r="L53" s="306">
        <f>D53+E53+F53+G53+H53+I53+J53</f>
        <v>0</v>
      </c>
    </row>
    <row r="54" spans="1:12" s="398" customFormat="1" ht="25.5" hidden="1" x14ac:dyDescent="0.2">
      <c r="A54" s="307" t="s">
        <v>619</v>
      </c>
      <c r="B54" s="308"/>
      <c r="C54" s="309"/>
      <c r="D54" s="310"/>
      <c r="E54" s="310"/>
      <c r="F54" s="311"/>
      <c r="G54" s="311"/>
      <c r="H54" s="311"/>
      <c r="I54" s="311"/>
      <c r="J54" s="311"/>
      <c r="K54" s="305">
        <f>C54+D54+E54+F54+G54+H54+I54+J54</f>
        <v>0</v>
      </c>
      <c r="L54" s="306">
        <f>D54+E54+F54+G54+H54+I54+J54</f>
        <v>0</v>
      </c>
    </row>
    <row r="55" spans="1:12" s="404" customFormat="1" ht="25.5" x14ac:dyDescent="0.2">
      <c r="A55" s="329" t="s">
        <v>620</v>
      </c>
      <c r="B55" s="330"/>
      <c r="C55" s="331">
        <f>SUM(C56:C58)</f>
        <v>0</v>
      </c>
      <c r="D55" s="332"/>
      <c r="E55" s="332">
        <f>SUM(E56:E58)</f>
        <v>0</v>
      </c>
      <c r="F55" s="333">
        <v>0</v>
      </c>
      <c r="G55" s="333">
        <v>0</v>
      </c>
      <c r="H55" s="333">
        <v>0</v>
      </c>
      <c r="I55" s="333">
        <v>0</v>
      </c>
      <c r="J55" s="333">
        <v>0</v>
      </c>
      <c r="K55" s="327">
        <f>C55+D55+E55+F55+G55+H55+I55+J55</f>
        <v>0</v>
      </c>
      <c r="L55" s="328">
        <f>D55+E55+F55+G55+H55+I55+J55</f>
        <v>0</v>
      </c>
    </row>
    <row r="56" spans="1:12" s="398" customFormat="1" ht="25.5" hidden="1" x14ac:dyDescent="0.2">
      <c r="A56" s="307" t="s">
        <v>621</v>
      </c>
      <c r="B56" s="308"/>
      <c r="C56" s="309"/>
      <c r="D56" s="310"/>
      <c r="E56" s="310"/>
      <c r="F56" s="311"/>
      <c r="G56" s="311"/>
      <c r="H56" s="311"/>
      <c r="I56" s="311"/>
      <c r="J56" s="311"/>
      <c r="K56" s="305">
        <f>C56+D56+E56+F56+G56+H56+I56+J56</f>
        <v>0</v>
      </c>
      <c r="L56" s="306">
        <f>D56+E56+F56+G56+H56+I56+J56</f>
        <v>0</v>
      </c>
    </row>
    <row r="57" spans="1:12" s="398" customFormat="1" ht="38.25" hidden="1" x14ac:dyDescent="0.2">
      <c r="A57" s="307" t="s">
        <v>622</v>
      </c>
      <c r="B57" s="308"/>
      <c r="C57" s="309"/>
      <c r="D57" s="310"/>
      <c r="E57" s="310"/>
      <c r="F57" s="311"/>
      <c r="G57" s="311"/>
      <c r="H57" s="311"/>
      <c r="I57" s="311"/>
      <c r="J57" s="311"/>
      <c r="K57" s="305">
        <f>C57+D57+E57+F57+G57+H57+I57+J57</f>
        <v>0</v>
      </c>
      <c r="L57" s="306">
        <f>D57+E57+F57+G57+H57+I57+J57</f>
        <v>0</v>
      </c>
    </row>
    <row r="58" spans="1:12" s="398" customFormat="1" ht="25.5" hidden="1" x14ac:dyDescent="0.2">
      <c r="A58" s="307" t="s">
        <v>623</v>
      </c>
      <c r="B58" s="308"/>
      <c r="C58" s="309"/>
      <c r="D58" s="310"/>
      <c r="E58" s="310"/>
      <c r="F58" s="311"/>
      <c r="G58" s="311"/>
      <c r="H58" s="311"/>
      <c r="I58" s="311"/>
      <c r="J58" s="311"/>
      <c r="K58" s="305">
        <f>C58+D58+E58+F58+G58+H58+I58+J58</f>
        <v>0</v>
      </c>
      <c r="L58" s="306">
        <f>D58+E58+F58+G58+H58+I58+J58</f>
        <v>0</v>
      </c>
    </row>
    <row r="59" spans="1:12" x14ac:dyDescent="0.2">
      <c r="A59" s="300" t="s">
        <v>624</v>
      </c>
      <c r="B59" s="301"/>
      <c r="C59" s="302">
        <f>20000+278</f>
        <v>20278</v>
      </c>
      <c r="D59" s="303">
        <v>1500</v>
      </c>
      <c r="E59" s="304"/>
      <c r="F59" s="304">
        <v>14000</v>
      </c>
      <c r="G59" s="304">
        <v>100</v>
      </c>
      <c r="H59" s="304">
        <v>50</v>
      </c>
      <c r="I59" s="304">
        <v>150</v>
      </c>
      <c r="J59" s="304">
        <v>100</v>
      </c>
      <c r="K59" s="305">
        <f>C59+D59+E59+F59+G59+H59+I59+J59</f>
        <v>36178</v>
      </c>
      <c r="L59" s="306">
        <f>D59+E59+F59+G59+H59+I59+J59</f>
        <v>15900</v>
      </c>
    </row>
    <row r="60" spans="1:12" s="399" customFormat="1" ht="25.5" x14ac:dyDescent="0.25">
      <c r="A60" s="312" t="s">
        <v>625</v>
      </c>
      <c r="B60" s="313"/>
      <c r="C60" s="318">
        <f>C59+C55+C52+C51+C50</f>
        <v>790067</v>
      </c>
      <c r="D60" s="319">
        <f t="shared" ref="D60:J60" si="8">D59+D55+D52+D51+D50</f>
        <v>65300</v>
      </c>
      <c r="E60" s="319">
        <f t="shared" si="8"/>
        <v>22667</v>
      </c>
      <c r="F60" s="319">
        <f t="shared" si="8"/>
        <v>551415</v>
      </c>
      <c r="G60" s="319">
        <f t="shared" si="8"/>
        <v>35929</v>
      </c>
      <c r="H60" s="319">
        <f t="shared" si="8"/>
        <v>14135</v>
      </c>
      <c r="I60" s="319">
        <f t="shared" si="8"/>
        <v>24508</v>
      </c>
      <c r="J60" s="319">
        <f t="shared" si="8"/>
        <v>3937</v>
      </c>
      <c r="K60" s="327">
        <f>C60+D60+E60+F60+G60+H60+I60+J60</f>
        <v>1507958</v>
      </c>
      <c r="L60" s="328">
        <f>D60+E60+F60+G60+H60+I60+J60</f>
        <v>717891</v>
      </c>
    </row>
    <row r="61" spans="1:12" s="399" customFormat="1" ht="25.5" x14ac:dyDescent="0.25">
      <c r="A61" s="312" t="s">
        <v>626</v>
      </c>
      <c r="B61" s="313" t="s">
        <v>23</v>
      </c>
      <c r="C61" s="314">
        <f t="shared" ref="C61:J61" si="9">C60+C49+C46+C36+C33</f>
        <v>2194295</v>
      </c>
      <c r="D61" s="315">
        <f t="shared" si="9"/>
        <v>317264</v>
      </c>
      <c r="E61" s="315">
        <f t="shared" si="9"/>
        <v>242401</v>
      </c>
      <c r="F61" s="315">
        <f t="shared" si="9"/>
        <v>2208506</v>
      </c>
      <c r="G61" s="315">
        <f t="shared" si="9"/>
        <v>163019</v>
      </c>
      <c r="H61" s="315">
        <f t="shared" si="9"/>
        <v>62863</v>
      </c>
      <c r="I61" s="315">
        <f t="shared" si="9"/>
        <v>102014</v>
      </c>
      <c r="J61" s="315">
        <f t="shared" si="9"/>
        <v>18323</v>
      </c>
      <c r="K61" s="327">
        <f>C61+D61+E61+F61+G61+H61+I61+J61</f>
        <v>5308685</v>
      </c>
      <c r="L61" s="306">
        <f>D61+E61+F61+G61+H61+I61+J61</f>
        <v>3114390</v>
      </c>
    </row>
    <row r="62" spans="1:12" s="405" customFormat="1" x14ac:dyDescent="0.25">
      <c r="A62" s="334" t="s">
        <v>627</v>
      </c>
      <c r="B62" s="335"/>
      <c r="C62" s="336"/>
      <c r="D62" s="337"/>
      <c r="E62" s="337"/>
      <c r="F62" s="338"/>
      <c r="G62" s="338"/>
      <c r="H62" s="338"/>
      <c r="I62" s="338"/>
      <c r="J62" s="338"/>
      <c r="K62" s="305">
        <f>C62+D62+E62+F62+G62+H62+I62+J62</f>
        <v>0</v>
      </c>
      <c r="L62" s="306">
        <f>D62+E62+F62+G62+H62+I62+J62</f>
        <v>0</v>
      </c>
    </row>
    <row r="63" spans="1:12" s="399" customFormat="1" ht="25.5" x14ac:dyDescent="0.25">
      <c r="A63" s="312" t="s">
        <v>628</v>
      </c>
      <c r="B63" s="313"/>
      <c r="C63" s="318">
        <v>0</v>
      </c>
      <c r="D63" s="319">
        <f t="shared" ref="D63:J63" si="10">SUM(D64:D73)</f>
        <v>0</v>
      </c>
      <c r="E63" s="319">
        <f t="shared" si="10"/>
        <v>0</v>
      </c>
      <c r="F63" s="319">
        <f t="shared" si="10"/>
        <v>0</v>
      </c>
      <c r="G63" s="319">
        <f t="shared" si="10"/>
        <v>0</v>
      </c>
      <c r="H63" s="319">
        <f t="shared" si="10"/>
        <v>0</v>
      </c>
      <c r="I63" s="319">
        <f t="shared" si="10"/>
        <v>0</v>
      </c>
      <c r="J63" s="319">
        <f t="shared" si="10"/>
        <v>0</v>
      </c>
      <c r="K63" s="327">
        <f>C63+D63+E63+F63+G63+H63+I63+J63</f>
        <v>0</v>
      </c>
      <c r="L63" s="328">
        <f>D63+E63+F63+G63+H63+I63+J63</f>
        <v>0</v>
      </c>
    </row>
    <row r="64" spans="1:12" s="401" customFormat="1" hidden="1" x14ac:dyDescent="0.2">
      <c r="A64" s="307" t="s">
        <v>629</v>
      </c>
      <c r="B64" s="324"/>
      <c r="C64" s="322"/>
      <c r="D64" s="325"/>
      <c r="E64" s="321"/>
      <c r="F64" s="321"/>
      <c r="G64" s="321"/>
      <c r="H64" s="321"/>
      <c r="I64" s="321"/>
      <c r="J64" s="321"/>
      <c r="K64" s="305">
        <f>C64+D64+E64+F64+G64+H64+I64+J64</f>
        <v>0</v>
      </c>
      <c r="L64" s="306">
        <f>D64+E64+F64+G64+H64+I64+J64</f>
        <v>0</v>
      </c>
    </row>
    <row r="65" spans="1:12" s="401" customFormat="1" hidden="1" x14ac:dyDescent="0.2">
      <c r="A65" s="307" t="s">
        <v>630</v>
      </c>
      <c r="B65" s="324"/>
      <c r="C65" s="322"/>
      <c r="D65" s="325"/>
      <c r="E65" s="321"/>
      <c r="F65" s="321"/>
      <c r="G65" s="321"/>
      <c r="H65" s="321"/>
      <c r="I65" s="321"/>
      <c r="J65" s="321"/>
      <c r="K65" s="305">
        <f>C65+D65+E65+F65+G65+H65+I65+J65</f>
        <v>0</v>
      </c>
      <c r="L65" s="306">
        <f>D65+E65+F65+G65+H65+I65+J65</f>
        <v>0</v>
      </c>
    </row>
    <row r="66" spans="1:12" s="401" customFormat="1" ht="25.5" hidden="1" x14ac:dyDescent="0.2">
      <c r="A66" s="307" t="s">
        <v>631</v>
      </c>
      <c r="B66" s="324"/>
      <c r="C66" s="309"/>
      <c r="D66" s="325"/>
      <c r="E66" s="321"/>
      <c r="F66" s="321"/>
      <c r="G66" s="321"/>
      <c r="H66" s="321"/>
      <c r="I66" s="321"/>
      <c r="J66" s="321"/>
      <c r="K66" s="305">
        <f>C66+D66+E66+F66+G66+H66+I66+J66</f>
        <v>0</v>
      </c>
      <c r="L66" s="306">
        <f>D66+E66+F66+G66+H66+I66+J66</f>
        <v>0</v>
      </c>
    </row>
    <row r="67" spans="1:12" s="401" customFormat="1" ht="25.5" hidden="1" x14ac:dyDescent="0.2">
      <c r="A67" s="307" t="s">
        <v>632</v>
      </c>
      <c r="B67" s="324"/>
      <c r="C67" s="309"/>
      <c r="D67" s="325"/>
      <c r="E67" s="321"/>
      <c r="F67" s="321"/>
      <c r="G67" s="321"/>
      <c r="H67" s="321"/>
      <c r="I67" s="321"/>
      <c r="J67" s="321"/>
      <c r="K67" s="305">
        <f>C67+D67+E67+F67+G67+H67+I67+J67</f>
        <v>0</v>
      </c>
      <c r="L67" s="306">
        <f>D67+E67+F67+G67+H67+I67+J67</f>
        <v>0</v>
      </c>
    </row>
    <row r="68" spans="1:12" s="401" customFormat="1" ht="38.25" hidden="1" x14ac:dyDescent="0.2">
      <c r="A68" s="307" t="s">
        <v>633</v>
      </c>
      <c r="B68" s="324"/>
      <c r="C68" s="309"/>
      <c r="D68" s="325"/>
      <c r="E68" s="321">
        <v>0</v>
      </c>
      <c r="F68" s="321"/>
      <c r="G68" s="321"/>
      <c r="H68" s="321"/>
      <c r="I68" s="321"/>
      <c r="J68" s="321"/>
      <c r="K68" s="305">
        <f>C68+D68+E68+F68+G68+H68+I68+J68</f>
        <v>0</v>
      </c>
      <c r="L68" s="306">
        <f>D68+E68+F68+G68+H68+I68+J68</f>
        <v>0</v>
      </c>
    </row>
    <row r="69" spans="1:12" s="401" customFormat="1" hidden="1" x14ac:dyDescent="0.2">
      <c r="A69" s="307" t="s">
        <v>634</v>
      </c>
      <c r="B69" s="324"/>
      <c r="C69" s="322"/>
      <c r="D69" s="325"/>
      <c r="E69" s="321"/>
      <c r="F69" s="321"/>
      <c r="G69" s="321"/>
      <c r="H69" s="321"/>
      <c r="I69" s="321"/>
      <c r="J69" s="321"/>
      <c r="K69" s="305">
        <f>C69+D69+E69+F69+G69+H69+I69+J69</f>
        <v>0</v>
      </c>
      <c r="L69" s="306">
        <f>D69+E69+F69+G69+H69+I69+J69</f>
        <v>0</v>
      </c>
    </row>
    <row r="70" spans="1:12" s="401" customFormat="1" ht="25.5" hidden="1" x14ac:dyDescent="0.2">
      <c r="A70" s="307" t="s">
        <v>635</v>
      </c>
      <c r="B70" s="324"/>
      <c r="C70" s="309"/>
      <c r="D70" s="325"/>
      <c r="E70" s="321"/>
      <c r="F70" s="321"/>
      <c r="G70" s="321"/>
      <c r="H70" s="321"/>
      <c r="I70" s="321"/>
      <c r="J70" s="321"/>
      <c r="K70" s="305">
        <f>C70+D70+E70+F70+G70+H70+I70+J70</f>
        <v>0</v>
      </c>
      <c r="L70" s="306">
        <f>D70+E70+F70+G70+H70+I70+J70</f>
        <v>0</v>
      </c>
    </row>
    <row r="71" spans="1:12" s="401" customFormat="1" ht="25.5" hidden="1" x14ac:dyDescent="0.2">
      <c r="A71" s="307" t="s">
        <v>636</v>
      </c>
      <c r="B71" s="324"/>
      <c r="C71" s="309"/>
      <c r="D71" s="325"/>
      <c r="E71" s="321"/>
      <c r="F71" s="321"/>
      <c r="G71" s="321"/>
      <c r="H71" s="321"/>
      <c r="I71" s="321"/>
      <c r="J71" s="321"/>
      <c r="K71" s="305">
        <f>C71+D71+E71+F71+G71+H71+I71+J71</f>
        <v>0</v>
      </c>
      <c r="L71" s="306">
        <f>D71+E71+F71+G71+H71+I71+J71</f>
        <v>0</v>
      </c>
    </row>
    <row r="72" spans="1:12" s="401" customFormat="1" ht="38.25" hidden="1" x14ac:dyDescent="0.2">
      <c r="A72" s="307" t="s">
        <v>637</v>
      </c>
      <c r="B72" s="324"/>
      <c r="C72" s="309"/>
      <c r="D72" s="325"/>
      <c r="E72" s="321"/>
      <c r="F72" s="321"/>
      <c r="G72" s="321"/>
      <c r="H72" s="321"/>
      <c r="I72" s="321"/>
      <c r="J72" s="321"/>
      <c r="K72" s="305">
        <f>C72+D72+E72+F72+G72+H72+I72+J72</f>
        <v>0</v>
      </c>
      <c r="L72" s="306">
        <f>D72+E72+F72+G72+H72+I72+J72</f>
        <v>0</v>
      </c>
    </row>
    <row r="73" spans="1:12" s="406" customFormat="1" ht="43.5" hidden="1" customHeight="1" x14ac:dyDescent="0.25">
      <c r="A73" s="307" t="s">
        <v>638</v>
      </c>
      <c r="B73" s="339"/>
      <c r="C73" s="302"/>
      <c r="D73" s="316"/>
      <c r="E73" s="326"/>
      <c r="F73" s="326"/>
      <c r="G73" s="326"/>
      <c r="H73" s="326"/>
      <c r="I73" s="326"/>
      <c r="J73" s="326"/>
      <c r="K73" s="305">
        <f>C73+D73+E73+F73+G73+H73+I73+J73</f>
        <v>0</v>
      </c>
      <c r="L73" s="306">
        <f>D73+E73+F73+G73+H73+I73+J73</f>
        <v>0</v>
      </c>
    </row>
    <row r="74" spans="1:12" s="407" customFormat="1" ht="25.5" hidden="1" x14ac:dyDescent="0.2">
      <c r="A74" s="334" t="s">
        <v>639</v>
      </c>
      <c r="B74" s="335"/>
      <c r="C74" s="340"/>
      <c r="D74" s="341"/>
      <c r="E74" s="342"/>
      <c r="F74" s="342"/>
      <c r="G74" s="342"/>
      <c r="H74" s="342"/>
      <c r="I74" s="342"/>
      <c r="J74" s="342"/>
      <c r="K74" s="305">
        <f>C74+D74+E74+F74+G74+H74+I74+J74</f>
        <v>0</v>
      </c>
      <c r="L74" s="306">
        <f>D74+E74+F74+G74+H74+I74+J74</f>
        <v>0</v>
      </c>
    </row>
    <row r="75" spans="1:12" s="408" customFormat="1" ht="38.25" hidden="1" x14ac:dyDescent="0.2">
      <c r="A75" s="312" t="s">
        <v>640</v>
      </c>
      <c r="B75" s="313"/>
      <c r="C75" s="318">
        <f>SUM(C76:C85)</f>
        <v>0</v>
      </c>
      <c r="D75" s="343">
        <f t="shared" ref="D75:J75" si="11">SUM(D76:D85)</f>
        <v>0</v>
      </c>
      <c r="E75" s="343">
        <f t="shared" si="11"/>
        <v>0</v>
      </c>
      <c r="F75" s="343">
        <f t="shared" si="11"/>
        <v>0</v>
      </c>
      <c r="G75" s="343">
        <f t="shared" si="11"/>
        <v>0</v>
      </c>
      <c r="H75" s="343">
        <f t="shared" si="11"/>
        <v>0</v>
      </c>
      <c r="I75" s="343">
        <f t="shared" si="11"/>
        <v>0</v>
      </c>
      <c r="J75" s="343">
        <f t="shared" si="11"/>
        <v>0</v>
      </c>
      <c r="K75" s="327">
        <f>C75+D75+E75+F75+G75+H75+I75+J75</f>
        <v>0</v>
      </c>
      <c r="L75" s="328">
        <f>D75+E75+F75+G75+H75+I75+J75</f>
        <v>0</v>
      </c>
    </row>
    <row r="76" spans="1:12" s="401" customFormat="1" hidden="1" x14ac:dyDescent="0.2">
      <c r="A76" s="307" t="s">
        <v>641</v>
      </c>
      <c r="B76" s="324"/>
      <c r="C76" s="322"/>
      <c r="D76" s="325"/>
      <c r="E76" s="321"/>
      <c r="F76" s="321"/>
      <c r="G76" s="321"/>
      <c r="H76" s="321"/>
      <c r="I76" s="321"/>
      <c r="J76" s="321"/>
      <c r="K76" s="305">
        <f>C76+D76+E76+F76+G76+H76+I76+J76</f>
        <v>0</v>
      </c>
      <c r="L76" s="306">
        <f>D76+E76+F76+G76+H76+I76+J76</f>
        <v>0</v>
      </c>
    </row>
    <row r="77" spans="1:12" s="401" customFormat="1" ht="25.5" hidden="1" x14ac:dyDescent="0.2">
      <c r="A77" s="307" t="s">
        <v>642</v>
      </c>
      <c r="B77" s="324"/>
      <c r="C77" s="322"/>
      <c r="D77" s="325"/>
      <c r="E77" s="321"/>
      <c r="F77" s="321"/>
      <c r="G77" s="321"/>
      <c r="H77" s="321"/>
      <c r="I77" s="321"/>
      <c r="J77" s="321"/>
      <c r="K77" s="305">
        <f>C77+D77+E77+F77+G77+H77+I77+J77</f>
        <v>0</v>
      </c>
      <c r="L77" s="306">
        <f>D77+E77+F77+G77+H77+I77+J77</f>
        <v>0</v>
      </c>
    </row>
    <row r="78" spans="1:12" s="401" customFormat="1" ht="25.5" hidden="1" x14ac:dyDescent="0.2">
      <c r="A78" s="307" t="s">
        <v>643</v>
      </c>
      <c r="B78" s="324"/>
      <c r="C78" s="309"/>
      <c r="D78" s="344"/>
      <c r="E78" s="344"/>
      <c r="F78" s="321"/>
      <c r="G78" s="321"/>
      <c r="H78" s="321"/>
      <c r="I78" s="321"/>
      <c r="J78" s="321"/>
      <c r="K78" s="305">
        <f>C78+D78+E78+F78+G78+H78+I78+J78</f>
        <v>0</v>
      </c>
      <c r="L78" s="306">
        <f>D78+E78+F78+G78+H78+I78+J78</f>
        <v>0</v>
      </c>
    </row>
    <row r="79" spans="1:12" s="401" customFormat="1" ht="25.5" hidden="1" x14ac:dyDescent="0.2">
      <c r="A79" s="307" t="s">
        <v>644</v>
      </c>
      <c r="B79" s="324"/>
      <c r="C79" s="322"/>
      <c r="D79" s="325"/>
      <c r="E79" s="321"/>
      <c r="F79" s="321"/>
      <c r="G79" s="321"/>
      <c r="H79" s="321"/>
      <c r="I79" s="321"/>
      <c r="J79" s="321"/>
      <c r="K79" s="305">
        <f>C79+D79+E79+F79+G79+H79+I79+J79</f>
        <v>0</v>
      </c>
      <c r="L79" s="306">
        <f>D79+E79+F79+G79+H79+I79+J79</f>
        <v>0</v>
      </c>
    </row>
    <row r="80" spans="1:12" s="401" customFormat="1" ht="51" hidden="1" x14ac:dyDescent="0.2">
      <c r="A80" s="307" t="s">
        <v>645</v>
      </c>
      <c r="B80" s="324"/>
      <c r="C80" s="322"/>
      <c r="D80" s="325"/>
      <c r="E80" s="321"/>
      <c r="F80" s="321"/>
      <c r="G80" s="321"/>
      <c r="H80" s="321"/>
      <c r="I80" s="321"/>
      <c r="J80" s="321"/>
      <c r="K80" s="305">
        <f>C80+D80+E80+F80+G80+H80+I80+J80</f>
        <v>0</v>
      </c>
      <c r="L80" s="306">
        <f>D80+E80+F80+G80+H80+I80+J80</f>
        <v>0</v>
      </c>
    </row>
    <row r="81" spans="1:12" s="401" customFormat="1" ht="25.5" hidden="1" x14ac:dyDescent="0.2">
      <c r="A81" s="307" t="s">
        <v>646</v>
      </c>
      <c r="B81" s="324"/>
      <c r="C81" s="322"/>
      <c r="D81" s="325"/>
      <c r="E81" s="321"/>
      <c r="F81" s="321"/>
      <c r="G81" s="321"/>
      <c r="H81" s="321"/>
      <c r="I81" s="321"/>
      <c r="J81" s="321"/>
      <c r="K81" s="305">
        <f>C81+D81+E81+F81+G81+H81+I81+J81</f>
        <v>0</v>
      </c>
      <c r="L81" s="306">
        <f>D81+E81+F81+G81+H81+I81+J81</f>
        <v>0</v>
      </c>
    </row>
    <row r="82" spans="1:12" s="401" customFormat="1" ht="25.5" hidden="1" x14ac:dyDescent="0.2">
      <c r="A82" s="307" t="s">
        <v>647</v>
      </c>
      <c r="B82" s="324"/>
      <c r="C82" s="322"/>
      <c r="D82" s="325"/>
      <c r="E82" s="321"/>
      <c r="F82" s="321"/>
      <c r="G82" s="321"/>
      <c r="H82" s="321"/>
      <c r="I82" s="321"/>
      <c r="J82" s="321"/>
      <c r="K82" s="305">
        <f>C82+D82+E82+F82+G82+H82+I82+J82</f>
        <v>0</v>
      </c>
      <c r="L82" s="306">
        <f>D82+E82+F82+G82+H82+I82+J82</f>
        <v>0</v>
      </c>
    </row>
    <row r="83" spans="1:12" s="401" customFormat="1" ht="25.5" hidden="1" x14ac:dyDescent="0.2">
      <c r="A83" s="307" t="s">
        <v>648</v>
      </c>
      <c r="B83" s="324"/>
      <c r="C83" s="322"/>
      <c r="D83" s="325"/>
      <c r="E83" s="321"/>
      <c r="F83" s="321"/>
      <c r="G83" s="321"/>
      <c r="H83" s="321"/>
      <c r="I83" s="321"/>
      <c r="J83" s="321"/>
      <c r="K83" s="305">
        <f>C83+D83+E83+F83+G83+H83+I83+J83</f>
        <v>0</v>
      </c>
      <c r="L83" s="306">
        <f>D83+E83+F83+G83+H83+I83+J83</f>
        <v>0</v>
      </c>
    </row>
    <row r="84" spans="1:12" s="401" customFormat="1" ht="51" hidden="1" x14ac:dyDescent="0.2">
      <c r="A84" s="307" t="s">
        <v>649</v>
      </c>
      <c r="B84" s="324"/>
      <c r="C84" s="322"/>
      <c r="D84" s="325"/>
      <c r="E84" s="321"/>
      <c r="F84" s="321"/>
      <c r="G84" s="321"/>
      <c r="H84" s="321"/>
      <c r="I84" s="321"/>
      <c r="J84" s="321"/>
      <c r="K84" s="305">
        <f>C84+D84+E84+F84+G84+H84+I84+J84</f>
        <v>0</v>
      </c>
      <c r="L84" s="306">
        <f>D84+E84+F84+G84+H84+I84+J84</f>
        <v>0</v>
      </c>
    </row>
    <row r="85" spans="1:12" s="401" customFormat="1" ht="25.5" hidden="1" x14ac:dyDescent="0.2">
      <c r="A85" s="307" t="s">
        <v>650</v>
      </c>
      <c r="B85" s="324"/>
      <c r="C85" s="322"/>
      <c r="D85" s="325"/>
      <c r="E85" s="321"/>
      <c r="F85" s="321"/>
      <c r="G85" s="321"/>
      <c r="H85" s="321"/>
      <c r="I85" s="321"/>
      <c r="J85" s="321"/>
      <c r="K85" s="305">
        <f>C85+D85+E85+F85+G85+H85+I85+J85</f>
        <v>0</v>
      </c>
      <c r="L85" s="306">
        <f>D85+E85+F85+G85+H85+I85+J85</f>
        <v>0</v>
      </c>
    </row>
    <row r="86" spans="1:12" s="408" customFormat="1" ht="38.25" hidden="1" x14ac:dyDescent="0.2">
      <c r="A86" s="312" t="s">
        <v>651</v>
      </c>
      <c r="B86" s="313"/>
      <c r="C86" s="318">
        <f>SUM(C87:C94)</f>
        <v>0</v>
      </c>
      <c r="D86" s="343">
        <f t="shared" ref="D86:J86" si="12">SUM(D87:D94)</f>
        <v>0</v>
      </c>
      <c r="E86" s="343">
        <f t="shared" si="12"/>
        <v>0</v>
      </c>
      <c r="F86" s="343">
        <f t="shared" si="12"/>
        <v>0</v>
      </c>
      <c r="G86" s="343">
        <f t="shared" si="12"/>
        <v>0</v>
      </c>
      <c r="H86" s="343">
        <f t="shared" si="12"/>
        <v>0</v>
      </c>
      <c r="I86" s="343">
        <f t="shared" si="12"/>
        <v>0</v>
      </c>
      <c r="J86" s="343">
        <f t="shared" si="12"/>
        <v>0</v>
      </c>
      <c r="K86" s="327">
        <f>C86+D86+E86+F86+G86+H86+I86+J86</f>
        <v>0</v>
      </c>
      <c r="L86" s="328">
        <f>D86+E86+F86+G86+H86+I86+J86</f>
        <v>0</v>
      </c>
    </row>
    <row r="87" spans="1:12" s="401" customFormat="1" ht="89.25" hidden="1" x14ac:dyDescent="0.2">
      <c r="A87" s="307" t="s">
        <v>652</v>
      </c>
      <c r="B87" s="324"/>
      <c r="C87" s="322"/>
      <c r="D87" s="325"/>
      <c r="E87" s="321"/>
      <c r="F87" s="321"/>
      <c r="G87" s="321"/>
      <c r="H87" s="321"/>
      <c r="I87" s="321"/>
      <c r="J87" s="321"/>
      <c r="K87" s="305">
        <f>C87+D87+E87+F87+G87+H87+I87+J87</f>
        <v>0</v>
      </c>
      <c r="L87" s="306">
        <f>D87+E87+F87+G87+H87+I87+J87</f>
        <v>0</v>
      </c>
    </row>
    <row r="88" spans="1:12" s="401" customFormat="1" ht="38.25" hidden="1" x14ac:dyDescent="0.2">
      <c r="A88" s="307" t="s">
        <v>653</v>
      </c>
      <c r="B88" s="324"/>
      <c r="C88" s="309"/>
      <c r="D88" s="344"/>
      <c r="E88" s="344"/>
      <c r="F88" s="321"/>
      <c r="G88" s="321"/>
      <c r="H88" s="321"/>
      <c r="I88" s="321"/>
      <c r="J88" s="321"/>
      <c r="K88" s="305">
        <f>C88+D88+E88+F88+G88+H88+I88+J88</f>
        <v>0</v>
      </c>
      <c r="L88" s="306">
        <f>D88+E88+F88+G88+H88+I88+J88</f>
        <v>0</v>
      </c>
    </row>
    <row r="89" spans="1:12" s="401" customFormat="1" hidden="1" x14ac:dyDescent="0.2">
      <c r="A89" s="307" t="s">
        <v>654</v>
      </c>
      <c r="B89" s="324"/>
      <c r="C89" s="309"/>
      <c r="D89" s="325"/>
      <c r="E89" s="321"/>
      <c r="F89" s="321"/>
      <c r="G89" s="321"/>
      <c r="H89" s="321"/>
      <c r="I89" s="321"/>
      <c r="J89" s="321"/>
      <c r="K89" s="305">
        <f>C89+D89+E89+F89+G89+H89+I89+J89</f>
        <v>0</v>
      </c>
      <c r="L89" s="306">
        <f>D89+E89+F89+G89+H89+I89+J89</f>
        <v>0</v>
      </c>
    </row>
    <row r="90" spans="1:12" s="401" customFormat="1" ht="25.5" hidden="1" x14ac:dyDescent="0.2">
      <c r="A90" s="307" t="s">
        <v>655</v>
      </c>
      <c r="B90" s="324"/>
      <c r="C90" s="309"/>
      <c r="D90" s="325"/>
      <c r="E90" s="321"/>
      <c r="F90" s="321"/>
      <c r="G90" s="321"/>
      <c r="H90" s="321"/>
      <c r="I90" s="321"/>
      <c r="J90" s="321"/>
      <c r="K90" s="305">
        <f>C90+D90+E90+F90+G90+H90+I90+J90</f>
        <v>0</v>
      </c>
      <c r="L90" s="306">
        <f>D90+E90+F90+G90+H90+I90+J90</f>
        <v>0</v>
      </c>
    </row>
    <row r="91" spans="1:12" s="401" customFormat="1" ht="38.25" hidden="1" x14ac:dyDescent="0.2">
      <c r="A91" s="307" t="s">
        <v>656</v>
      </c>
      <c r="B91" s="324"/>
      <c r="C91" s="309"/>
      <c r="D91" s="325"/>
      <c r="E91" s="321"/>
      <c r="F91" s="321"/>
      <c r="G91" s="321"/>
      <c r="H91" s="321"/>
      <c r="I91" s="321"/>
      <c r="J91" s="321"/>
      <c r="K91" s="305">
        <f>C91+D91+E91+F91+G91+H91+I91+J91</f>
        <v>0</v>
      </c>
      <c r="L91" s="306">
        <f>D91+E91+F91+G91+H91+I91+J91</f>
        <v>0</v>
      </c>
    </row>
    <row r="92" spans="1:12" s="401" customFormat="1" hidden="1" x14ac:dyDescent="0.2">
      <c r="A92" s="307" t="s">
        <v>657</v>
      </c>
      <c r="B92" s="324"/>
      <c r="C92" s="309"/>
      <c r="D92" s="325"/>
      <c r="E92" s="321"/>
      <c r="F92" s="321"/>
      <c r="G92" s="321"/>
      <c r="H92" s="321"/>
      <c r="I92" s="321"/>
      <c r="J92" s="321"/>
      <c r="K92" s="305">
        <f>C92+D92+E92+F92+G92+H92+I92+J92</f>
        <v>0</v>
      </c>
      <c r="L92" s="306">
        <f>D92+E92+F92+G92+H92+I92+J92</f>
        <v>0</v>
      </c>
    </row>
    <row r="93" spans="1:12" s="401" customFormat="1" ht="38.25" hidden="1" x14ac:dyDescent="0.2">
      <c r="A93" s="307" t="s">
        <v>658</v>
      </c>
      <c r="B93" s="324"/>
      <c r="C93" s="309"/>
      <c r="D93" s="325"/>
      <c r="E93" s="321"/>
      <c r="F93" s="321"/>
      <c r="G93" s="321"/>
      <c r="H93" s="321"/>
      <c r="I93" s="321"/>
      <c r="J93" s="321"/>
      <c r="K93" s="305">
        <f>C93+D93+E93+F93+G93+H93+I93+J93</f>
        <v>0</v>
      </c>
      <c r="L93" s="306">
        <f>D93+E93+F93+G93+H93+I93+J93</f>
        <v>0</v>
      </c>
    </row>
    <row r="94" spans="1:12" s="401" customFormat="1" ht="25.5" hidden="1" x14ac:dyDescent="0.2">
      <c r="A94" s="307" t="s">
        <v>659</v>
      </c>
      <c r="B94" s="324"/>
      <c r="C94" s="309"/>
      <c r="D94" s="325"/>
      <c r="E94" s="321"/>
      <c r="F94" s="321"/>
      <c r="G94" s="321"/>
      <c r="H94" s="321"/>
      <c r="I94" s="321"/>
      <c r="J94" s="321"/>
      <c r="K94" s="305">
        <f>C94+D94+E94+F94+G94+H94+I94+J94</f>
        <v>0</v>
      </c>
      <c r="L94" s="306">
        <f>D94+E94+F94+G94+H94+I94+J94</f>
        <v>0</v>
      </c>
    </row>
    <row r="95" spans="1:12" s="408" customFormat="1" ht="25.5" x14ac:dyDescent="0.2">
      <c r="A95" s="312" t="s">
        <v>660</v>
      </c>
      <c r="B95" s="313"/>
      <c r="C95" s="318">
        <f>+C96+C97</f>
        <v>0</v>
      </c>
      <c r="D95" s="345">
        <f t="shared" ref="D95:J95" si="13">SUM(D96:D101)</f>
        <v>0</v>
      </c>
      <c r="E95" s="345">
        <f t="shared" si="13"/>
        <v>0</v>
      </c>
      <c r="F95" s="345">
        <f t="shared" si="13"/>
        <v>0</v>
      </c>
      <c r="G95" s="345">
        <f t="shared" si="13"/>
        <v>0</v>
      </c>
      <c r="H95" s="345">
        <f t="shared" si="13"/>
        <v>0</v>
      </c>
      <c r="I95" s="345">
        <f t="shared" si="13"/>
        <v>0</v>
      </c>
      <c r="J95" s="345">
        <f t="shared" si="13"/>
        <v>0</v>
      </c>
      <c r="K95" s="327">
        <f>C95+D95+E95+F95+G95+H95+I95+J95</f>
        <v>0</v>
      </c>
      <c r="L95" s="328">
        <f>D95+E95+F95+G95+H95+I95+J95</f>
        <v>0</v>
      </c>
    </row>
    <row r="96" spans="1:12" s="401" customFormat="1" ht="25.5" hidden="1" x14ac:dyDescent="0.2">
      <c r="A96" s="307" t="s">
        <v>661</v>
      </c>
      <c r="B96" s="324"/>
      <c r="C96" s="322"/>
      <c r="D96" s="325"/>
      <c r="E96" s="321"/>
      <c r="F96" s="321"/>
      <c r="G96" s="321"/>
      <c r="H96" s="321"/>
      <c r="I96" s="321"/>
      <c r="J96" s="321"/>
      <c r="K96" s="305">
        <f>C96+D96+E96+F96+G96+H96+I96+J96</f>
        <v>0</v>
      </c>
      <c r="L96" s="306">
        <f>D96+E96+F96+G96+H96+I96+J96</f>
        <v>0</v>
      </c>
    </row>
    <row r="97" spans="1:12" s="401" customFormat="1" hidden="1" x14ac:dyDescent="0.2">
      <c r="A97" s="307" t="s">
        <v>662</v>
      </c>
      <c r="B97" s="324"/>
      <c r="C97" s="309"/>
      <c r="D97" s="325"/>
      <c r="E97" s="321"/>
      <c r="F97" s="321"/>
      <c r="G97" s="321"/>
      <c r="H97" s="321"/>
      <c r="I97" s="321"/>
      <c r="J97" s="321"/>
      <c r="K97" s="305">
        <f>C97+D97+E97+F97+G97+H97+I97+J97</f>
        <v>0</v>
      </c>
      <c r="L97" s="306">
        <f>D97+E97+F97+G97+H97+I97+J97</f>
        <v>0</v>
      </c>
    </row>
    <row r="98" spans="1:12" s="401" customFormat="1" hidden="1" x14ac:dyDescent="0.2">
      <c r="A98" s="307"/>
      <c r="B98" s="324"/>
      <c r="C98" s="322"/>
      <c r="D98" s="344"/>
      <c r="E98" s="344"/>
      <c r="F98" s="321"/>
      <c r="G98" s="321"/>
      <c r="H98" s="321"/>
      <c r="I98" s="321"/>
      <c r="J98" s="321"/>
      <c r="K98" s="305">
        <f>C98+D98+E98+F98+G98+H98+I98+J98</f>
        <v>0</v>
      </c>
      <c r="L98" s="306">
        <f>D98+E98+F98+G98+H98+I98+J98</f>
        <v>0</v>
      </c>
    </row>
    <row r="99" spans="1:12" s="401" customFormat="1" hidden="1" x14ac:dyDescent="0.2">
      <c r="A99" s="307"/>
      <c r="B99" s="324"/>
      <c r="C99" s="309"/>
      <c r="D99" s="325"/>
      <c r="E99" s="321"/>
      <c r="F99" s="321"/>
      <c r="G99" s="321"/>
      <c r="H99" s="321"/>
      <c r="I99" s="321"/>
      <c r="J99" s="321"/>
      <c r="K99" s="305">
        <f>C99+D99+E99+F99+G99+H99+I99+J99</f>
        <v>0</v>
      </c>
      <c r="L99" s="306">
        <f>D99+E99+F99+G99+H99+I99+J99</f>
        <v>0</v>
      </c>
    </row>
    <row r="100" spans="1:12" s="401" customFormat="1" hidden="1" x14ac:dyDescent="0.2">
      <c r="A100" s="307"/>
      <c r="B100" s="324"/>
      <c r="C100" s="322"/>
      <c r="D100" s="325"/>
      <c r="E100" s="321"/>
      <c r="F100" s="321"/>
      <c r="G100" s="321"/>
      <c r="H100" s="321"/>
      <c r="I100" s="321"/>
      <c r="J100" s="321"/>
      <c r="K100" s="305">
        <f>C100+D100+E100+F100+G100+H100+I100+J100</f>
        <v>0</v>
      </c>
      <c r="L100" s="306">
        <f>D100+E100+F100+G100+H100+I100+J100</f>
        <v>0</v>
      </c>
    </row>
    <row r="101" spans="1:12" s="401" customFormat="1" hidden="1" x14ac:dyDescent="0.2">
      <c r="A101" s="307"/>
      <c r="B101" s="324"/>
      <c r="C101" s="322"/>
      <c r="D101" s="325"/>
      <c r="E101" s="321"/>
      <c r="F101" s="321"/>
      <c r="G101" s="321"/>
      <c r="H101" s="321"/>
      <c r="I101" s="321"/>
      <c r="J101" s="321"/>
      <c r="K101" s="305">
        <f>C101+D101+E101+F101+G101+H101+I101+J101</f>
        <v>0</v>
      </c>
      <c r="L101" s="306">
        <f>D101+E101+F101+G101+H101+I101+J101</f>
        <v>0</v>
      </c>
    </row>
    <row r="102" spans="1:12" s="408" customFormat="1" ht="25.5" x14ac:dyDescent="0.2">
      <c r="A102" s="312" t="s">
        <v>663</v>
      </c>
      <c r="B102" s="313"/>
      <c r="C102" s="318">
        <f>SUM(C103:C104)</f>
        <v>0</v>
      </c>
      <c r="D102" s="346">
        <f t="shared" ref="D102:J102" si="14">SUM(D103:D104)</f>
        <v>0</v>
      </c>
      <c r="E102" s="346">
        <f t="shared" si="14"/>
        <v>0</v>
      </c>
      <c r="F102" s="346">
        <f t="shared" si="14"/>
        <v>0</v>
      </c>
      <c r="G102" s="346">
        <f t="shared" si="14"/>
        <v>0</v>
      </c>
      <c r="H102" s="346">
        <f t="shared" si="14"/>
        <v>0</v>
      </c>
      <c r="I102" s="346">
        <f t="shared" si="14"/>
        <v>0</v>
      </c>
      <c r="J102" s="346">
        <f t="shared" si="14"/>
        <v>0</v>
      </c>
      <c r="K102" s="327">
        <f>C102+D102+E102+F102+G102+H102+I102+J102</f>
        <v>0</v>
      </c>
      <c r="L102" s="328">
        <f>D102+E102+F102+G102+H102+I102+J102</f>
        <v>0</v>
      </c>
    </row>
    <row r="103" spans="1:12" s="401" customFormat="1" ht="25.5" hidden="1" x14ac:dyDescent="0.2">
      <c r="A103" s="307" t="s">
        <v>664</v>
      </c>
      <c r="B103" s="324"/>
      <c r="C103" s="309"/>
      <c r="D103" s="325"/>
      <c r="E103" s="321"/>
      <c r="F103" s="321"/>
      <c r="G103" s="321"/>
      <c r="H103" s="321"/>
      <c r="I103" s="321"/>
      <c r="J103" s="321"/>
      <c r="K103" s="305">
        <f>C103+D103+E103+F103+G103+H103+I103+J103</f>
        <v>0</v>
      </c>
      <c r="L103" s="306">
        <f>D103+E103+F103+G103+H103+I103+J103</f>
        <v>0</v>
      </c>
    </row>
    <row r="104" spans="1:12" s="401" customFormat="1" ht="25.5" hidden="1" x14ac:dyDescent="0.2">
      <c r="A104" s="307" t="s">
        <v>665</v>
      </c>
      <c r="B104" s="324"/>
      <c r="C104" s="309"/>
      <c r="D104" s="325"/>
      <c r="E104" s="321"/>
      <c r="F104" s="321"/>
      <c r="G104" s="321"/>
      <c r="H104" s="321"/>
      <c r="I104" s="321"/>
      <c r="J104" s="321"/>
      <c r="K104" s="305">
        <f>C104+D104+E104+F104+G104+H104+I104+J104</f>
        <v>0</v>
      </c>
      <c r="L104" s="306">
        <f>D104+E104+F104+G104+H104+I104+J104</f>
        <v>0</v>
      </c>
    </row>
    <row r="105" spans="1:12" s="408" customFormat="1" ht="25.5" x14ac:dyDescent="0.2">
      <c r="A105" s="312" t="s">
        <v>666</v>
      </c>
      <c r="B105" s="313"/>
      <c r="C105" s="318">
        <v>186500</v>
      </c>
      <c r="D105" s="346">
        <f t="shared" ref="D105:J105" si="15">SUM(D106:D124)</f>
        <v>0</v>
      </c>
      <c r="E105" s="346">
        <f t="shared" si="15"/>
        <v>0</v>
      </c>
      <c r="F105" s="346">
        <f t="shared" si="15"/>
        <v>0</v>
      </c>
      <c r="G105" s="346">
        <f t="shared" si="15"/>
        <v>0</v>
      </c>
      <c r="H105" s="346">
        <f t="shared" si="15"/>
        <v>0</v>
      </c>
      <c r="I105" s="346">
        <f t="shared" si="15"/>
        <v>0</v>
      </c>
      <c r="J105" s="346">
        <f t="shared" si="15"/>
        <v>0</v>
      </c>
      <c r="K105" s="327">
        <f>C105+D105+E105+F105+G105+H105+I105+J105</f>
        <v>186500</v>
      </c>
      <c r="L105" s="328">
        <f>D105+E105+F105+G105+H105+I105+J105</f>
        <v>0</v>
      </c>
    </row>
    <row r="106" spans="1:12" s="401" customFormat="1" hidden="1" x14ac:dyDescent="0.2">
      <c r="A106" s="307" t="s">
        <v>667</v>
      </c>
      <c r="B106" s="324"/>
      <c r="C106" s="309"/>
      <c r="D106" s="325"/>
      <c r="E106" s="321"/>
      <c r="F106" s="321"/>
      <c r="G106" s="321"/>
      <c r="H106" s="321"/>
      <c r="I106" s="321"/>
      <c r="J106" s="321"/>
      <c r="K106" s="305">
        <f>C106+D106+E106+F106+G106+H106+I106+J106</f>
        <v>0</v>
      </c>
      <c r="L106" s="306">
        <f>D106+E106+F106+G106+H106+I106+J106</f>
        <v>0</v>
      </c>
    </row>
    <row r="107" spans="1:12" s="401" customFormat="1" ht="38.25" hidden="1" x14ac:dyDescent="0.2">
      <c r="A107" s="307" t="s">
        <v>668</v>
      </c>
      <c r="B107" s="324"/>
      <c r="C107" s="322"/>
      <c r="D107" s="325"/>
      <c r="E107" s="321"/>
      <c r="F107" s="321"/>
      <c r="G107" s="321"/>
      <c r="H107" s="321"/>
      <c r="I107" s="321"/>
      <c r="J107" s="321"/>
      <c r="K107" s="305">
        <f>C107+D107+E107+F107+G107+H107+I107+J107</f>
        <v>0</v>
      </c>
      <c r="L107" s="306">
        <f>D107+E107+F107+G107+H107+I107+J107</f>
        <v>0</v>
      </c>
    </row>
    <row r="108" spans="1:12" s="401" customFormat="1" ht="38.25" hidden="1" x14ac:dyDescent="0.2">
      <c r="A108" s="307" t="s">
        <v>669</v>
      </c>
      <c r="B108" s="324"/>
      <c r="C108" s="322"/>
      <c r="D108" s="325"/>
      <c r="E108" s="321"/>
      <c r="F108" s="321"/>
      <c r="G108" s="321"/>
      <c r="H108" s="321"/>
      <c r="I108" s="321"/>
      <c r="J108" s="321"/>
      <c r="K108" s="305">
        <f>C108+D108+E108+F108+G108+H108+I108+J108</f>
        <v>0</v>
      </c>
      <c r="L108" s="306">
        <f>D108+E108+F108+G108+H108+I108+J108</f>
        <v>0</v>
      </c>
    </row>
    <row r="109" spans="1:12" s="401" customFormat="1" ht="25.5" hidden="1" x14ac:dyDescent="0.2">
      <c r="A109" s="307" t="s">
        <v>670</v>
      </c>
      <c r="B109" s="324"/>
      <c r="C109" s="309"/>
      <c r="D109" s="325"/>
      <c r="E109" s="321"/>
      <c r="F109" s="321"/>
      <c r="G109" s="321"/>
      <c r="H109" s="321"/>
      <c r="I109" s="321"/>
      <c r="J109" s="321"/>
      <c r="K109" s="305">
        <f>C109+D109+E109+F109+G109+H109+I109+J109</f>
        <v>0</v>
      </c>
      <c r="L109" s="306">
        <f>D109+E109+F109+G109+H109+I109+J109</f>
        <v>0</v>
      </c>
    </row>
    <row r="110" spans="1:12" s="401" customFormat="1" ht="25.5" hidden="1" x14ac:dyDescent="0.2">
      <c r="A110" s="307" t="s">
        <v>671</v>
      </c>
      <c r="B110" s="324"/>
      <c r="C110" s="322"/>
      <c r="D110" s="325"/>
      <c r="E110" s="321"/>
      <c r="F110" s="321"/>
      <c r="G110" s="321"/>
      <c r="H110" s="321"/>
      <c r="I110" s="321"/>
      <c r="J110" s="321"/>
      <c r="K110" s="305">
        <f>C110+D110+E110+F110+G110+H110+I110+J110</f>
        <v>0</v>
      </c>
      <c r="L110" s="306">
        <f>D110+E110+F110+G110+H110+I110+J110</f>
        <v>0</v>
      </c>
    </row>
    <row r="111" spans="1:12" s="401" customFormat="1" ht="38.25" hidden="1" x14ac:dyDescent="0.2">
      <c r="A111" s="307" t="s">
        <v>672</v>
      </c>
      <c r="B111" s="324"/>
      <c r="C111" s="322"/>
      <c r="D111" s="325"/>
      <c r="E111" s="321"/>
      <c r="F111" s="321"/>
      <c r="G111" s="321"/>
      <c r="H111" s="321"/>
      <c r="I111" s="321"/>
      <c r="J111" s="321"/>
      <c r="K111" s="305">
        <f>C111+D111+E111+F111+G111+H111+I111+J111</f>
        <v>0</v>
      </c>
      <c r="L111" s="306">
        <f>D111+E111+F111+G111+H111+I111+J111</f>
        <v>0</v>
      </c>
    </row>
    <row r="112" spans="1:12" s="401" customFormat="1" ht="38.25" hidden="1" x14ac:dyDescent="0.2">
      <c r="A112" s="307" t="s">
        <v>673</v>
      </c>
      <c r="B112" s="324"/>
      <c r="C112" s="322"/>
      <c r="D112" s="325"/>
      <c r="E112" s="321"/>
      <c r="F112" s="321"/>
      <c r="G112" s="321"/>
      <c r="H112" s="321"/>
      <c r="I112" s="321"/>
      <c r="J112" s="321"/>
      <c r="K112" s="305">
        <f>C112+D112+E112+F112+G112+H112+I112+J112</f>
        <v>0</v>
      </c>
      <c r="L112" s="306">
        <f>D112+E112+F112+G112+H112+I112+J112</f>
        <v>0</v>
      </c>
    </row>
    <row r="113" spans="1:12" s="401" customFormat="1" ht="76.5" hidden="1" x14ac:dyDescent="0.2">
      <c r="A113" s="307" t="s">
        <v>674</v>
      </c>
      <c r="B113" s="324"/>
      <c r="C113" s="322"/>
      <c r="D113" s="325"/>
      <c r="E113" s="321"/>
      <c r="F113" s="321"/>
      <c r="G113" s="321"/>
      <c r="H113" s="321"/>
      <c r="I113" s="321"/>
      <c r="J113" s="321"/>
      <c r="K113" s="305">
        <f>C113+D113+E113+F113+G113+H113+I113+J113</f>
        <v>0</v>
      </c>
      <c r="L113" s="306">
        <f>D113+E113+F113+G113+H113+I113+J113</f>
        <v>0</v>
      </c>
    </row>
    <row r="114" spans="1:12" s="401" customFormat="1" ht="38.25" hidden="1" x14ac:dyDescent="0.2">
      <c r="A114" s="307" t="s">
        <v>675</v>
      </c>
      <c r="B114" s="324"/>
      <c r="C114" s="322"/>
      <c r="D114" s="325"/>
      <c r="E114" s="321"/>
      <c r="F114" s="321"/>
      <c r="G114" s="321"/>
      <c r="H114" s="321"/>
      <c r="I114" s="321"/>
      <c r="J114" s="321"/>
      <c r="K114" s="305">
        <f>C114+D114+E114+F114+G114+H114+I114+J114</f>
        <v>0</v>
      </c>
      <c r="L114" s="306">
        <f>D114+E114+F114+G114+H114+I114+J114</f>
        <v>0</v>
      </c>
    </row>
    <row r="115" spans="1:12" s="401" customFormat="1" ht="38.25" hidden="1" x14ac:dyDescent="0.2">
      <c r="A115" s="307" t="s">
        <v>676</v>
      </c>
      <c r="B115" s="324"/>
      <c r="C115" s="322"/>
      <c r="D115" s="325"/>
      <c r="E115" s="321"/>
      <c r="F115" s="321"/>
      <c r="G115" s="321"/>
      <c r="H115" s="321"/>
      <c r="I115" s="321"/>
      <c r="J115" s="321"/>
      <c r="K115" s="305">
        <f>C115+D115+E115+F115+G115+H115+I115+J115</f>
        <v>0</v>
      </c>
      <c r="L115" s="306">
        <f>D115+E115+F115+G115+H115+I115+J115</f>
        <v>0</v>
      </c>
    </row>
    <row r="116" spans="1:12" s="401" customFormat="1" hidden="1" x14ac:dyDescent="0.2">
      <c r="A116" s="307" t="s">
        <v>677</v>
      </c>
      <c r="B116" s="324"/>
      <c r="C116" s="322"/>
      <c r="D116" s="325"/>
      <c r="E116" s="321"/>
      <c r="F116" s="321"/>
      <c r="G116" s="321"/>
      <c r="H116" s="321"/>
      <c r="I116" s="321"/>
      <c r="J116" s="321"/>
      <c r="K116" s="305">
        <f>C116+D116+E116+F116+G116+H116+I116+J116</f>
        <v>0</v>
      </c>
      <c r="L116" s="306">
        <f>D116+E116+F116+G116+H116+I116+J116</f>
        <v>0</v>
      </c>
    </row>
    <row r="117" spans="1:12" s="401" customFormat="1" ht="25.5" hidden="1" x14ac:dyDescent="0.2">
      <c r="A117" s="307" t="s">
        <v>678</v>
      </c>
      <c r="B117" s="324"/>
      <c r="C117" s="322"/>
      <c r="D117" s="325"/>
      <c r="E117" s="321"/>
      <c r="F117" s="321"/>
      <c r="G117" s="321"/>
      <c r="H117" s="321"/>
      <c r="I117" s="321"/>
      <c r="J117" s="321"/>
      <c r="K117" s="305">
        <f>C117+D117+E117+F117+G117+H117+I117+J117</f>
        <v>0</v>
      </c>
      <c r="L117" s="306">
        <f>D117+E117+F117+G117+H117+I117+J117</f>
        <v>0</v>
      </c>
    </row>
    <row r="118" spans="1:12" s="401" customFormat="1" ht="29.25" hidden="1" customHeight="1" x14ac:dyDescent="0.2">
      <c r="A118" s="307" t="s">
        <v>679</v>
      </c>
      <c r="B118" s="324"/>
      <c r="C118" s="322"/>
      <c r="D118" s="325"/>
      <c r="E118" s="321"/>
      <c r="F118" s="321"/>
      <c r="G118" s="321"/>
      <c r="H118" s="321"/>
      <c r="I118" s="321"/>
      <c r="J118" s="321"/>
      <c r="K118" s="305">
        <f>C118+D118+E118+F118+G118+H118+I118+J118</f>
        <v>0</v>
      </c>
      <c r="L118" s="306">
        <f>D118+E118+F118+G118+H118+I118+J118</f>
        <v>0</v>
      </c>
    </row>
    <row r="119" spans="1:12" s="401" customFormat="1" ht="25.5" hidden="1" x14ac:dyDescent="0.2">
      <c r="A119" s="307" t="s">
        <v>680</v>
      </c>
      <c r="B119" s="324"/>
      <c r="C119" s="322"/>
      <c r="D119" s="325"/>
      <c r="E119" s="321"/>
      <c r="F119" s="321"/>
      <c r="G119" s="321"/>
      <c r="H119" s="321"/>
      <c r="I119" s="321"/>
      <c r="J119" s="321"/>
      <c r="K119" s="305">
        <f>C119+D119+E119+F119+G119+H119+I119+J119</f>
        <v>0</v>
      </c>
      <c r="L119" s="306">
        <f>D119+E119+F119+G119+H119+I119+J119</f>
        <v>0</v>
      </c>
    </row>
    <row r="120" spans="1:12" s="401" customFormat="1" ht="38.25" hidden="1" x14ac:dyDescent="0.2">
      <c r="A120" s="307" t="s">
        <v>681</v>
      </c>
      <c r="B120" s="324"/>
      <c r="C120" s="322"/>
      <c r="D120" s="325"/>
      <c r="E120" s="321"/>
      <c r="F120" s="321"/>
      <c r="G120" s="321"/>
      <c r="H120" s="321"/>
      <c r="I120" s="321"/>
      <c r="J120" s="321"/>
      <c r="K120" s="305">
        <f>C120+D120+E120+F120+G120+H120+I120+J120</f>
        <v>0</v>
      </c>
      <c r="L120" s="306">
        <f>D120+E120+F120+G120+H120+I120+J120</f>
        <v>0</v>
      </c>
    </row>
    <row r="121" spans="1:12" s="401" customFormat="1" ht="25.5" hidden="1" x14ac:dyDescent="0.2">
      <c r="A121" s="307" t="s">
        <v>682</v>
      </c>
      <c r="B121" s="324"/>
      <c r="C121" s="322"/>
      <c r="D121" s="325"/>
      <c r="E121" s="321"/>
      <c r="F121" s="321"/>
      <c r="G121" s="321"/>
      <c r="H121" s="321"/>
      <c r="I121" s="321"/>
      <c r="J121" s="321"/>
      <c r="K121" s="305">
        <f>C121+D121+E121+F121+G121+H121+I121+J121</f>
        <v>0</v>
      </c>
      <c r="L121" s="306">
        <f>D121+E121+F121+G121+H121+I121+J121</f>
        <v>0</v>
      </c>
    </row>
    <row r="122" spans="1:12" s="401" customFormat="1" ht="25.5" hidden="1" x14ac:dyDescent="0.2">
      <c r="A122" s="307" t="s">
        <v>683</v>
      </c>
      <c r="B122" s="324"/>
      <c r="C122" s="309"/>
      <c r="D122" s="325"/>
      <c r="E122" s="321"/>
      <c r="F122" s="321"/>
      <c r="G122" s="321"/>
      <c r="H122" s="321"/>
      <c r="I122" s="321"/>
      <c r="J122" s="321"/>
      <c r="K122" s="305">
        <f>C122+D122+E122+F122+G122+H122+I122+J122</f>
        <v>0</v>
      </c>
      <c r="L122" s="306">
        <f>D122+E122+F122+G122+H122+I122+J122</f>
        <v>0</v>
      </c>
    </row>
    <row r="123" spans="1:12" s="401" customFormat="1" ht="51" hidden="1" x14ac:dyDescent="0.2">
      <c r="A123" s="307" t="s">
        <v>684</v>
      </c>
      <c r="B123" s="324"/>
      <c r="C123" s="322"/>
      <c r="D123" s="325"/>
      <c r="E123" s="321"/>
      <c r="F123" s="321"/>
      <c r="G123" s="321"/>
      <c r="H123" s="321"/>
      <c r="I123" s="321"/>
      <c r="J123" s="321"/>
      <c r="K123" s="305">
        <f>C123+D123+E123+F123+G123+H123+I123+J123</f>
        <v>0</v>
      </c>
      <c r="L123" s="306">
        <f>D123+E123+F123+G123+H123+I123+J123</f>
        <v>0</v>
      </c>
    </row>
    <row r="124" spans="1:12" s="401" customFormat="1" ht="55.5" hidden="1" customHeight="1" x14ac:dyDescent="0.2">
      <c r="A124" s="307" t="s">
        <v>685</v>
      </c>
      <c r="B124" s="324"/>
      <c r="C124" s="347"/>
      <c r="D124" s="344"/>
      <c r="E124" s="344"/>
      <c r="F124" s="321"/>
      <c r="G124" s="321"/>
      <c r="H124" s="321"/>
      <c r="I124" s="321"/>
      <c r="J124" s="321"/>
      <c r="K124" s="305">
        <f>C124+D124+E124+F124+G124+H124+I124+J124</f>
        <v>0</v>
      </c>
      <c r="L124" s="306">
        <f>D124+E124+F124+G124+H124+I124+J124</f>
        <v>0</v>
      </c>
    </row>
    <row r="125" spans="1:12" s="399" customFormat="1" ht="25.5" x14ac:dyDescent="0.25">
      <c r="A125" s="312" t="s">
        <v>686</v>
      </c>
      <c r="B125" s="313" t="s">
        <v>24</v>
      </c>
      <c r="C125" s="409">
        <f>C105+C102+C95+C86+C75+C74+C63+C62</f>
        <v>186500</v>
      </c>
      <c r="D125" s="410">
        <f t="shared" ref="D125:J125" si="16">D105+D102+D95+D86+D75+D74+D63+D62</f>
        <v>0</v>
      </c>
      <c r="E125" s="410">
        <f t="shared" si="16"/>
        <v>0</v>
      </c>
      <c r="F125" s="410">
        <f t="shared" si="16"/>
        <v>0</v>
      </c>
      <c r="G125" s="410">
        <f t="shared" si="16"/>
        <v>0</v>
      </c>
      <c r="H125" s="410">
        <f t="shared" si="16"/>
        <v>0</v>
      </c>
      <c r="I125" s="410">
        <f t="shared" si="16"/>
        <v>0</v>
      </c>
      <c r="J125" s="410">
        <f t="shared" si="16"/>
        <v>0</v>
      </c>
      <c r="K125" s="327">
        <f>C125+D125+E125+F125+G125+H125+I125+J125</f>
        <v>186500</v>
      </c>
      <c r="L125" s="306">
        <f>D125+E125+F125+G125+H125+I125+J125</f>
        <v>0</v>
      </c>
    </row>
    <row r="126" spans="1:12" ht="25.5" hidden="1" x14ac:dyDescent="0.2">
      <c r="A126" s="300" t="s">
        <v>687</v>
      </c>
      <c r="B126" s="301"/>
      <c r="C126" s="302"/>
      <c r="D126" s="303"/>
      <c r="E126" s="304"/>
      <c r="F126" s="304"/>
      <c r="G126" s="304"/>
      <c r="H126" s="304"/>
      <c r="I126" s="304"/>
      <c r="J126" s="304"/>
      <c r="K126" s="305">
        <f>C126+D126+E126+F126+G126+H126+I126+J126</f>
        <v>0</v>
      </c>
      <c r="L126" s="306">
        <f>D126+E126+F126+G126+H126+I126+J126</f>
        <v>0</v>
      </c>
    </row>
    <row r="127" spans="1:12" s="401" customFormat="1" hidden="1" x14ac:dyDescent="0.2">
      <c r="A127" s="307" t="s">
        <v>688</v>
      </c>
      <c r="B127" s="324"/>
      <c r="C127" s="322"/>
      <c r="D127" s="348"/>
      <c r="E127" s="311"/>
      <c r="F127" s="311"/>
      <c r="G127" s="311"/>
      <c r="H127" s="311"/>
      <c r="I127" s="311"/>
      <c r="J127" s="311"/>
      <c r="K127" s="305">
        <f>C127+D127+E127+F127+G127+H127+I127+J127</f>
        <v>0</v>
      </c>
      <c r="L127" s="306">
        <f>D127+E127+F127+G127+H127+I127+J127</f>
        <v>0</v>
      </c>
    </row>
    <row r="128" spans="1:12" s="411" customFormat="1" ht="44.25" customHeight="1" x14ac:dyDescent="0.25">
      <c r="A128" s="300" t="s">
        <v>689</v>
      </c>
      <c r="B128" s="301"/>
      <c r="C128" s="302">
        <v>10000</v>
      </c>
      <c r="D128" s="303"/>
      <c r="E128" s="304"/>
      <c r="F128" s="304"/>
      <c r="G128" s="304"/>
      <c r="H128" s="304"/>
      <c r="I128" s="304"/>
      <c r="J128" s="304"/>
      <c r="K128" s="305">
        <f>C128+D128+E128+F128+G128+H128+I128+J128</f>
        <v>10000</v>
      </c>
      <c r="L128" s="306">
        <f>D128+E128+F128+G128+H128+I128+J128</f>
        <v>0</v>
      </c>
    </row>
    <row r="129" spans="1:12" s="411" customFormat="1" ht="25.5" x14ac:dyDescent="0.25">
      <c r="A129" s="300" t="s">
        <v>690</v>
      </c>
      <c r="B129" s="301"/>
      <c r="C129" s="302">
        <v>412078</v>
      </c>
      <c r="D129" s="303"/>
      <c r="E129" s="304"/>
      <c r="F129" s="304"/>
      <c r="G129" s="304"/>
      <c r="H129" s="304"/>
      <c r="I129" s="304"/>
      <c r="J129" s="304"/>
      <c r="K129" s="305">
        <f>C129+D129+E129+F129+G129+H129+I129+J129</f>
        <v>412078</v>
      </c>
      <c r="L129" s="306">
        <f>D129+E129+F129+G129+H129+I129+J129</f>
        <v>0</v>
      </c>
    </row>
    <row r="130" spans="1:12" s="411" customFormat="1" x14ac:dyDescent="0.25">
      <c r="A130" s="300" t="s">
        <v>691</v>
      </c>
      <c r="B130" s="301"/>
      <c r="C130" s="302"/>
      <c r="D130" s="349"/>
      <c r="E130" s="349"/>
      <c r="F130" s="304"/>
      <c r="G130" s="304"/>
      <c r="H130" s="304"/>
      <c r="I130" s="304"/>
      <c r="J130" s="304"/>
      <c r="K130" s="305">
        <f>C130+D130+E130+F130+G130+H130+I130+J130</f>
        <v>0</v>
      </c>
      <c r="L130" s="306">
        <f>D130+E130+F130+G130+H130+I130+J130</f>
        <v>0</v>
      </c>
    </row>
    <row r="131" spans="1:12" s="330" customFormat="1" ht="25.5" x14ac:dyDescent="0.25">
      <c r="A131" s="329" t="s">
        <v>692</v>
      </c>
      <c r="C131" s="331">
        <f>SUM(C128:C130)</f>
        <v>422078</v>
      </c>
      <c r="D131" s="350">
        <f t="shared" ref="D131:J131" si="17">SUM(D128:D130)</f>
        <v>0</v>
      </c>
      <c r="E131" s="350">
        <f t="shared" si="17"/>
        <v>0</v>
      </c>
      <c r="F131" s="350">
        <f t="shared" si="17"/>
        <v>0</v>
      </c>
      <c r="G131" s="350">
        <f t="shared" si="17"/>
        <v>0</v>
      </c>
      <c r="H131" s="350">
        <f t="shared" si="17"/>
        <v>0</v>
      </c>
      <c r="I131" s="350">
        <f t="shared" si="17"/>
        <v>0</v>
      </c>
      <c r="J131" s="350">
        <f t="shared" si="17"/>
        <v>0</v>
      </c>
      <c r="K131" s="305">
        <f>C131+D131+E131+F131+G131+H131+I131+J131</f>
        <v>422078</v>
      </c>
      <c r="L131" s="306">
        <f>D131+E131+F131+G131+H131+I131+J131</f>
        <v>0</v>
      </c>
    </row>
    <row r="132" spans="1:12" s="411" customFormat="1" ht="38.25" hidden="1" x14ac:dyDescent="0.25">
      <c r="A132" s="300" t="s">
        <v>693</v>
      </c>
      <c r="B132" s="301"/>
      <c r="C132" s="351"/>
      <c r="D132" s="352"/>
      <c r="E132" s="352"/>
      <c r="F132" s="304"/>
      <c r="G132" s="304"/>
      <c r="H132" s="304"/>
      <c r="I132" s="304"/>
      <c r="J132" s="304"/>
      <c r="K132" s="305">
        <f>C132+D132+E132+F132+G132+H132+I132+J132</f>
        <v>0</v>
      </c>
      <c r="L132" s="306">
        <f>D132+E132+F132+G132+H132+I132+J132</f>
        <v>0</v>
      </c>
    </row>
    <row r="133" spans="1:12" s="330" customFormat="1" ht="51" hidden="1" x14ac:dyDescent="0.25">
      <c r="A133" s="329" t="s">
        <v>694</v>
      </c>
      <c r="C133" s="353">
        <f>SUM(C134:C143)</f>
        <v>0</v>
      </c>
      <c r="D133" s="354">
        <f t="shared" ref="D133:J133" si="18">SUM(D134:D143)</f>
        <v>0</v>
      </c>
      <c r="E133" s="354">
        <f t="shared" si="18"/>
        <v>0</v>
      </c>
      <c r="F133" s="354">
        <f t="shared" si="18"/>
        <v>0</v>
      </c>
      <c r="G133" s="354">
        <f t="shared" si="18"/>
        <v>0</v>
      </c>
      <c r="H133" s="354">
        <f t="shared" si="18"/>
        <v>0</v>
      </c>
      <c r="I133" s="354">
        <f t="shared" si="18"/>
        <v>0</v>
      </c>
      <c r="J133" s="354">
        <f t="shared" si="18"/>
        <v>0</v>
      </c>
      <c r="K133" s="305">
        <f>C133+D133+E133+F133+G133+H133+I133+J133</f>
        <v>0</v>
      </c>
      <c r="L133" s="306">
        <f>D133+E133+F133+G133+H133+I133+J133</f>
        <v>0</v>
      </c>
    </row>
    <row r="134" spans="1:12" s="412" customFormat="1" ht="25.5" hidden="1" x14ac:dyDescent="0.2">
      <c r="A134" s="307" t="s">
        <v>695</v>
      </c>
      <c r="B134" s="324"/>
      <c r="C134" s="309"/>
      <c r="D134" s="348"/>
      <c r="E134" s="311"/>
      <c r="F134" s="311"/>
      <c r="G134" s="311"/>
      <c r="H134" s="311"/>
      <c r="I134" s="311"/>
      <c r="J134" s="311"/>
      <c r="K134" s="305">
        <f>C134+D134+E134+F134+G134+H134+I134+J134</f>
        <v>0</v>
      </c>
      <c r="L134" s="306">
        <f>D134+E134+F134+G134+H134+I134+J134</f>
        <v>0</v>
      </c>
    </row>
    <row r="135" spans="1:12" s="401" customFormat="1" ht="25.5" hidden="1" x14ac:dyDescent="0.2">
      <c r="A135" s="307" t="s">
        <v>696</v>
      </c>
      <c r="B135" s="324"/>
      <c r="C135" s="322"/>
      <c r="D135" s="348"/>
      <c r="E135" s="311"/>
      <c r="F135" s="311"/>
      <c r="G135" s="311"/>
      <c r="H135" s="311"/>
      <c r="I135" s="311"/>
      <c r="J135" s="311"/>
      <c r="K135" s="305">
        <f>C135+D135+E135+F135+G135+H135+I135+J135</f>
        <v>0</v>
      </c>
      <c r="L135" s="306">
        <f>D135+E135+F135+G135+H135+I135+J135</f>
        <v>0</v>
      </c>
    </row>
    <row r="136" spans="1:12" s="401" customFormat="1" ht="38.25" hidden="1" x14ac:dyDescent="0.2">
      <c r="A136" s="307" t="s">
        <v>697</v>
      </c>
      <c r="B136" s="324"/>
      <c r="C136" s="309"/>
      <c r="D136" s="348"/>
      <c r="E136" s="311"/>
      <c r="F136" s="311"/>
      <c r="G136" s="311"/>
      <c r="H136" s="311"/>
      <c r="I136" s="311"/>
      <c r="J136" s="311"/>
      <c r="K136" s="305">
        <f>C136+D136+E136+F136+G136+H136+I136+J136</f>
        <v>0</v>
      </c>
      <c r="L136" s="306">
        <f>D136+E136+F136+G136+H136+I136+J136</f>
        <v>0</v>
      </c>
    </row>
    <row r="137" spans="1:12" s="401" customFormat="1" ht="25.5" hidden="1" x14ac:dyDescent="0.2">
      <c r="A137" s="307" t="s">
        <v>698</v>
      </c>
      <c r="B137" s="324"/>
      <c r="C137" s="322"/>
      <c r="D137" s="348"/>
      <c r="E137" s="311"/>
      <c r="F137" s="311"/>
      <c r="G137" s="311"/>
      <c r="H137" s="311"/>
      <c r="I137" s="311"/>
      <c r="J137" s="311"/>
      <c r="K137" s="305">
        <f>C137+D137+E137+F137+G137+H137+I137+J137</f>
        <v>0</v>
      </c>
      <c r="L137" s="306">
        <f>D137+E137+F137+G137+H137+I137+J137</f>
        <v>0</v>
      </c>
    </row>
    <row r="138" spans="1:12" s="401" customFormat="1" ht="25.5" hidden="1" x14ac:dyDescent="0.2">
      <c r="A138" s="307" t="s">
        <v>699</v>
      </c>
      <c r="B138" s="324"/>
      <c r="C138" s="322"/>
      <c r="D138" s="348"/>
      <c r="E138" s="311"/>
      <c r="F138" s="311"/>
      <c r="G138" s="311"/>
      <c r="H138" s="311"/>
      <c r="I138" s="311"/>
      <c r="J138" s="311"/>
      <c r="K138" s="305">
        <f>C138+D138+E138+F138+G138+H138+I138+J138</f>
        <v>0</v>
      </c>
      <c r="L138" s="306">
        <f>D138+E138+F138+G138+H138+I138+J138</f>
        <v>0</v>
      </c>
    </row>
    <row r="139" spans="1:12" s="401" customFormat="1" ht="28.5" hidden="1" customHeight="1" x14ac:dyDescent="0.2">
      <c r="A139" s="307" t="s">
        <v>700</v>
      </c>
      <c r="B139" s="324"/>
      <c r="C139" s="322"/>
      <c r="D139" s="348"/>
      <c r="E139" s="311"/>
      <c r="F139" s="311"/>
      <c r="G139" s="311"/>
      <c r="H139" s="311"/>
      <c r="I139" s="311"/>
      <c r="J139" s="311"/>
      <c r="K139" s="305">
        <f>C139+D139+E139+F139+G139+H139+I139+J139</f>
        <v>0</v>
      </c>
      <c r="L139" s="306">
        <f>D139+E139+F139+G139+H139+I139+J139</f>
        <v>0</v>
      </c>
    </row>
    <row r="140" spans="1:12" s="401" customFormat="1" ht="25.5" hidden="1" x14ac:dyDescent="0.2">
      <c r="A140" s="307" t="s">
        <v>701</v>
      </c>
      <c r="B140" s="324"/>
      <c r="C140" s="322"/>
      <c r="D140" s="348"/>
      <c r="E140" s="311"/>
      <c r="F140" s="311"/>
      <c r="G140" s="311"/>
      <c r="H140" s="311"/>
      <c r="I140" s="311"/>
      <c r="J140" s="311"/>
      <c r="K140" s="305">
        <f>C140+D140+E140+F140+G140+H140+I140+J140</f>
        <v>0</v>
      </c>
      <c r="L140" s="306">
        <f>D140+E140+F140+G140+H140+I140+J140</f>
        <v>0</v>
      </c>
    </row>
    <row r="141" spans="1:12" s="401" customFormat="1" ht="25.5" hidden="1" x14ac:dyDescent="0.2">
      <c r="A141" s="307" t="s">
        <v>702</v>
      </c>
      <c r="B141" s="324"/>
      <c r="C141" s="322"/>
      <c r="D141" s="348"/>
      <c r="E141" s="311"/>
      <c r="F141" s="311"/>
      <c r="G141" s="311"/>
      <c r="H141" s="311"/>
      <c r="I141" s="311"/>
      <c r="J141" s="311"/>
      <c r="K141" s="305">
        <f>C141+D141+E141+F141+G141+H141+I141+J141</f>
        <v>0</v>
      </c>
      <c r="L141" s="306">
        <f>D141+E141+F141+G141+H141+I141+J141</f>
        <v>0</v>
      </c>
    </row>
    <row r="142" spans="1:12" s="401" customFormat="1" ht="25.5" hidden="1" x14ac:dyDescent="0.2">
      <c r="A142" s="307" t="s">
        <v>703</v>
      </c>
      <c r="B142" s="324"/>
      <c r="C142" s="322"/>
      <c r="D142" s="348"/>
      <c r="E142" s="311"/>
      <c r="F142" s="311"/>
      <c r="G142" s="311"/>
      <c r="H142" s="311"/>
      <c r="I142" s="311"/>
      <c r="J142" s="311"/>
      <c r="K142" s="305">
        <f>C142+D142+E142+F142+G142+H142+I142+J142</f>
        <v>0</v>
      </c>
      <c r="L142" s="306">
        <f>D142+E142+F142+G142+H142+I142+J142</f>
        <v>0</v>
      </c>
    </row>
    <row r="143" spans="1:12" s="401" customFormat="1" ht="25.5" hidden="1" x14ac:dyDescent="0.2">
      <c r="A143" s="307" t="s">
        <v>704</v>
      </c>
      <c r="B143" s="324"/>
      <c r="C143" s="322"/>
      <c r="D143" s="344"/>
      <c r="E143" s="344"/>
      <c r="F143" s="311"/>
      <c r="G143" s="311"/>
      <c r="H143" s="311"/>
      <c r="I143" s="311"/>
      <c r="J143" s="311"/>
      <c r="K143" s="305">
        <f>C143+D143+E143+F143+G143+H143+I143+J143</f>
        <v>0</v>
      </c>
      <c r="L143" s="306">
        <f>D143+E143+F143+G143+H143+I143+J143</f>
        <v>0</v>
      </c>
    </row>
    <row r="144" spans="1:12" s="413" customFormat="1" ht="51" hidden="1" x14ac:dyDescent="0.2">
      <c r="A144" s="329" t="s">
        <v>705</v>
      </c>
      <c r="B144" s="355"/>
      <c r="C144" s="353">
        <f>SUM(C145:C154)</f>
        <v>0</v>
      </c>
      <c r="D144" s="354">
        <f t="shared" ref="D144:J144" si="19">SUM(D145:D154)</f>
        <v>0</v>
      </c>
      <c r="E144" s="354">
        <f t="shared" si="19"/>
        <v>0</v>
      </c>
      <c r="F144" s="354">
        <f t="shared" si="19"/>
        <v>0</v>
      </c>
      <c r="G144" s="354">
        <f t="shared" si="19"/>
        <v>0</v>
      </c>
      <c r="H144" s="354">
        <f t="shared" si="19"/>
        <v>0</v>
      </c>
      <c r="I144" s="354">
        <f t="shared" si="19"/>
        <v>0</v>
      </c>
      <c r="J144" s="354">
        <f t="shared" si="19"/>
        <v>0</v>
      </c>
      <c r="K144" s="305">
        <f>C144+D144+E144+F144+G144+H144+I144+J144</f>
        <v>0</v>
      </c>
      <c r="L144" s="306">
        <f>D144+E144+F144+G144+H144+I144+J144</f>
        <v>0</v>
      </c>
    </row>
    <row r="145" spans="1:12" s="401" customFormat="1" ht="25.5" hidden="1" x14ac:dyDescent="0.2">
      <c r="A145" s="307" t="s">
        <v>706</v>
      </c>
      <c r="B145" s="324"/>
      <c r="C145" s="322"/>
      <c r="D145" s="325"/>
      <c r="E145" s="321"/>
      <c r="F145" s="321"/>
      <c r="G145" s="321"/>
      <c r="H145" s="321"/>
      <c r="I145" s="321"/>
      <c r="J145" s="321"/>
      <c r="K145" s="305">
        <f>C145+D145+E145+F145+G145+H145+I145+J145</f>
        <v>0</v>
      </c>
      <c r="L145" s="306">
        <f>D145+E145+F145+G145+H145+I145+J145</f>
        <v>0</v>
      </c>
    </row>
    <row r="146" spans="1:12" s="401" customFormat="1" ht="25.5" hidden="1" x14ac:dyDescent="0.2">
      <c r="A146" s="307" t="s">
        <v>707</v>
      </c>
      <c r="B146" s="324"/>
      <c r="C146" s="322"/>
      <c r="D146" s="325"/>
      <c r="E146" s="321"/>
      <c r="F146" s="321"/>
      <c r="G146" s="321"/>
      <c r="H146" s="321"/>
      <c r="I146" s="321"/>
      <c r="J146" s="321"/>
      <c r="K146" s="305">
        <f>C146+D146+E146+F146+G146+H146+I146+J146</f>
        <v>0</v>
      </c>
      <c r="L146" s="306">
        <f>D146+E146+F146+G146+H146+I146+J146</f>
        <v>0</v>
      </c>
    </row>
    <row r="147" spans="1:12" s="401" customFormat="1" ht="38.25" hidden="1" x14ac:dyDescent="0.2">
      <c r="A147" s="307" t="s">
        <v>708</v>
      </c>
      <c r="B147" s="324"/>
      <c r="C147" s="309"/>
      <c r="D147" s="325"/>
      <c r="E147" s="321"/>
      <c r="F147" s="321"/>
      <c r="G147" s="321"/>
      <c r="H147" s="321"/>
      <c r="I147" s="321"/>
      <c r="J147" s="321"/>
      <c r="K147" s="305">
        <f>C147+D147+E147+F147+G147+H147+I147+J147</f>
        <v>0</v>
      </c>
      <c r="L147" s="306">
        <f>D147+E147+F147+G147+H147+I147+J147</f>
        <v>0</v>
      </c>
    </row>
    <row r="148" spans="1:12" s="401" customFormat="1" ht="25.5" hidden="1" x14ac:dyDescent="0.2">
      <c r="A148" s="307" t="s">
        <v>709</v>
      </c>
      <c r="B148" s="324"/>
      <c r="C148" s="322"/>
      <c r="D148" s="325"/>
      <c r="E148" s="321"/>
      <c r="F148" s="321"/>
      <c r="G148" s="321"/>
      <c r="H148" s="321"/>
      <c r="I148" s="321"/>
      <c r="J148" s="321"/>
      <c r="K148" s="305">
        <f>C148+D148+E148+F148+G148+H148+I148+J148</f>
        <v>0</v>
      </c>
      <c r="L148" s="306">
        <f>D148+E148+F148+G148+H148+I148+J148</f>
        <v>0</v>
      </c>
    </row>
    <row r="149" spans="1:12" s="401" customFormat="1" ht="25.5" hidden="1" x14ac:dyDescent="0.2">
      <c r="A149" s="307" t="s">
        <v>710</v>
      </c>
      <c r="B149" s="324"/>
      <c r="C149" s="322"/>
      <c r="D149" s="325"/>
      <c r="E149" s="321"/>
      <c r="F149" s="321"/>
      <c r="G149" s="321"/>
      <c r="H149" s="321"/>
      <c r="I149" s="321"/>
      <c r="J149" s="321"/>
      <c r="K149" s="305">
        <f>C149+D149+E149+F149+G149+H149+I149+J149</f>
        <v>0</v>
      </c>
      <c r="L149" s="306">
        <f>D149+E149+F149+G149+H149+I149+J149</f>
        <v>0</v>
      </c>
    </row>
    <row r="150" spans="1:12" s="401" customFormat="1" ht="28.5" hidden="1" customHeight="1" x14ac:dyDescent="0.2">
      <c r="A150" s="307" t="s">
        <v>711</v>
      </c>
      <c r="B150" s="324"/>
      <c r="C150" s="322"/>
      <c r="D150" s="325"/>
      <c r="E150" s="321"/>
      <c r="F150" s="321"/>
      <c r="G150" s="321"/>
      <c r="H150" s="321"/>
      <c r="I150" s="321"/>
      <c r="J150" s="321"/>
      <c r="K150" s="305">
        <f>C150+D150+E150+F150+G150+H150+I150+J150</f>
        <v>0</v>
      </c>
      <c r="L150" s="306">
        <f>D150+E150+F150+G150+H150+I150+J150</f>
        <v>0</v>
      </c>
    </row>
    <row r="151" spans="1:12" s="401" customFormat="1" ht="25.5" hidden="1" x14ac:dyDescent="0.2">
      <c r="A151" s="307" t="s">
        <v>712</v>
      </c>
      <c r="B151" s="324"/>
      <c r="C151" s="322"/>
      <c r="D151" s="325"/>
      <c r="E151" s="321"/>
      <c r="F151" s="321"/>
      <c r="G151" s="321"/>
      <c r="H151" s="321"/>
      <c r="I151" s="321"/>
      <c r="J151" s="321"/>
      <c r="K151" s="305">
        <f>C151+D151+E151+F151+G151+H151+I151+J151</f>
        <v>0</v>
      </c>
      <c r="L151" s="306">
        <f>D151+E151+F151+G151+H151+I151+J151</f>
        <v>0</v>
      </c>
    </row>
    <row r="152" spans="1:12" s="401" customFormat="1" ht="25.5" hidden="1" x14ac:dyDescent="0.2">
      <c r="A152" s="307" t="s">
        <v>713</v>
      </c>
      <c r="B152" s="324"/>
      <c r="C152" s="322"/>
      <c r="D152" s="325"/>
      <c r="E152" s="321"/>
      <c r="F152" s="321"/>
      <c r="G152" s="321"/>
      <c r="H152" s="321"/>
      <c r="I152" s="321"/>
      <c r="J152" s="321"/>
      <c r="K152" s="305">
        <f>C152+D152+E152+F152+G152+H152+I152+J152</f>
        <v>0</v>
      </c>
      <c r="L152" s="306">
        <f>D152+E152+F152+G152+H152+I152+J152</f>
        <v>0</v>
      </c>
    </row>
    <row r="153" spans="1:12" s="401" customFormat="1" ht="25.5" hidden="1" x14ac:dyDescent="0.2">
      <c r="A153" s="307" t="s">
        <v>714</v>
      </c>
      <c r="B153" s="324"/>
      <c r="C153" s="322"/>
      <c r="D153" s="325"/>
      <c r="E153" s="321"/>
      <c r="F153" s="321"/>
      <c r="G153" s="321"/>
      <c r="H153" s="321"/>
      <c r="I153" s="321"/>
      <c r="J153" s="321"/>
      <c r="K153" s="305">
        <f>C153+D153+E153+F153+G153+H153+I153+J153</f>
        <v>0</v>
      </c>
      <c r="L153" s="306">
        <f>D153+E153+F153+G153+H153+I153+J153</f>
        <v>0</v>
      </c>
    </row>
    <row r="154" spans="1:12" s="401" customFormat="1" ht="25.5" hidden="1" x14ac:dyDescent="0.2">
      <c r="A154" s="307" t="s">
        <v>715</v>
      </c>
      <c r="B154" s="324"/>
      <c r="C154" s="322"/>
      <c r="D154" s="344"/>
      <c r="E154" s="344"/>
      <c r="F154" s="321"/>
      <c r="G154" s="321"/>
      <c r="H154" s="321"/>
      <c r="I154" s="321"/>
      <c r="J154" s="321"/>
      <c r="K154" s="305">
        <f>C154+D154+E154+F154+G154+H154+I154+J154</f>
        <v>0</v>
      </c>
      <c r="L154" s="306">
        <f>D154+E154+F154+G154+H154+I154+J154</f>
        <v>0</v>
      </c>
    </row>
    <row r="155" spans="1:12" s="356" customFormat="1" ht="38.25" x14ac:dyDescent="0.25">
      <c r="A155" s="329" t="s">
        <v>716</v>
      </c>
      <c r="C155" s="331">
        <v>47725</v>
      </c>
      <c r="D155" s="354">
        <f t="shared" ref="D155:J155" si="20">SUM(D156:D165)</f>
        <v>0</v>
      </c>
      <c r="E155" s="354">
        <f t="shared" si="20"/>
        <v>0</v>
      </c>
      <c r="F155" s="354">
        <f t="shared" si="20"/>
        <v>0</v>
      </c>
      <c r="G155" s="354">
        <f t="shared" si="20"/>
        <v>0</v>
      </c>
      <c r="H155" s="354">
        <f t="shared" si="20"/>
        <v>0</v>
      </c>
      <c r="I155" s="354">
        <f t="shared" si="20"/>
        <v>0</v>
      </c>
      <c r="J155" s="354">
        <f t="shared" si="20"/>
        <v>0</v>
      </c>
      <c r="K155" s="305">
        <f>C155+D155+E155+F155+G155+H155+I155+J155</f>
        <v>47725</v>
      </c>
      <c r="L155" s="306">
        <f>D155+E155+F155+G155+H155+I155+J155</f>
        <v>0</v>
      </c>
    </row>
    <row r="156" spans="1:12" s="412" customFormat="1" ht="25.5" hidden="1" x14ac:dyDescent="0.2">
      <c r="A156" s="307" t="s">
        <v>717</v>
      </c>
      <c r="B156" s="324"/>
      <c r="C156" s="322"/>
      <c r="D156" s="325"/>
      <c r="E156" s="321"/>
      <c r="F156" s="321"/>
      <c r="G156" s="321"/>
      <c r="H156" s="321"/>
      <c r="I156" s="321"/>
      <c r="J156" s="321"/>
      <c r="K156" s="305">
        <f>C156+D156+E156+F156+G156+H156+I156+J156</f>
        <v>0</v>
      </c>
      <c r="L156" s="306">
        <f>D156+E156+F156+G156+H156+I156+J156</f>
        <v>0</v>
      </c>
    </row>
    <row r="157" spans="1:12" s="401" customFormat="1" ht="25.5" hidden="1" x14ac:dyDescent="0.2">
      <c r="A157" s="307" t="s">
        <v>718</v>
      </c>
      <c r="B157" s="324"/>
      <c r="C157" s="322"/>
      <c r="D157" s="325"/>
      <c r="E157" s="321"/>
      <c r="F157" s="321"/>
      <c r="G157" s="321"/>
      <c r="H157" s="321"/>
      <c r="I157" s="321"/>
      <c r="J157" s="321"/>
      <c r="K157" s="305">
        <f>C157+D157+E157+F157+G157+H157+I157+J157</f>
        <v>0</v>
      </c>
      <c r="L157" s="306">
        <f>D157+E157+F157+G157+H157+I157+J157</f>
        <v>0</v>
      </c>
    </row>
    <row r="158" spans="1:12" s="401" customFormat="1" ht="38.25" hidden="1" x14ac:dyDescent="0.2">
      <c r="A158" s="307" t="s">
        <v>719</v>
      </c>
      <c r="B158" s="324"/>
      <c r="C158" s="309"/>
      <c r="D158" s="325"/>
      <c r="E158" s="321"/>
      <c r="F158" s="321"/>
      <c r="G158" s="321"/>
      <c r="H158" s="321"/>
      <c r="I158" s="321"/>
      <c r="J158" s="321"/>
      <c r="K158" s="305">
        <f>C158+D158+E158+F158+G158+H158+I158+J158</f>
        <v>0</v>
      </c>
      <c r="L158" s="306">
        <f>D158+E158+F158+G158+H158+I158+J158</f>
        <v>0</v>
      </c>
    </row>
    <row r="159" spans="1:12" s="401" customFormat="1" ht="25.5" hidden="1" x14ac:dyDescent="0.2">
      <c r="A159" s="307" t="s">
        <v>720</v>
      </c>
      <c r="B159" s="324"/>
      <c r="C159" s="309"/>
      <c r="D159" s="325"/>
      <c r="E159" s="321"/>
      <c r="F159" s="321"/>
      <c r="G159" s="321"/>
      <c r="H159" s="321"/>
      <c r="I159" s="321"/>
      <c r="J159" s="321"/>
      <c r="K159" s="305">
        <f>C159+D159+E159+F159+G159+H159+I159+J159</f>
        <v>0</v>
      </c>
      <c r="L159" s="306">
        <f>D159+E159+F159+G159+H159+I159+J159</f>
        <v>0</v>
      </c>
    </row>
    <row r="160" spans="1:12" s="401" customFormat="1" ht="25.5" hidden="1" x14ac:dyDescent="0.2">
      <c r="A160" s="307" t="s">
        <v>721</v>
      </c>
      <c r="B160" s="324"/>
      <c r="C160" s="322"/>
      <c r="D160" s="325"/>
      <c r="E160" s="321"/>
      <c r="F160" s="321"/>
      <c r="G160" s="321"/>
      <c r="H160" s="321"/>
      <c r="I160" s="321"/>
      <c r="J160" s="321"/>
      <c r="K160" s="305">
        <f>C160+D160+E160+F160+G160+H160+I160+J160</f>
        <v>0</v>
      </c>
      <c r="L160" s="306">
        <f>D160+E160+F160+G160+H160+I160+J160</f>
        <v>0</v>
      </c>
    </row>
    <row r="161" spans="1:12" s="401" customFormat="1" ht="29.25" hidden="1" customHeight="1" x14ac:dyDescent="0.2">
      <c r="A161" s="307" t="s">
        <v>722</v>
      </c>
      <c r="B161" s="324"/>
      <c r="C161" s="322"/>
      <c r="D161" s="344"/>
      <c r="E161" s="321"/>
      <c r="F161" s="321"/>
      <c r="G161" s="321"/>
      <c r="H161" s="321"/>
      <c r="I161" s="321"/>
      <c r="J161" s="321"/>
      <c r="K161" s="305">
        <f>C161+D161+E161+F161+G161+H161+I161+J161</f>
        <v>0</v>
      </c>
      <c r="L161" s="306">
        <f>D161+E161+F161+G161+H161+I161+J161</f>
        <v>0</v>
      </c>
    </row>
    <row r="162" spans="1:12" s="400" customFormat="1" ht="25.5" x14ac:dyDescent="0.2">
      <c r="A162" s="307" t="s">
        <v>723</v>
      </c>
      <c r="B162" s="320"/>
      <c r="C162" s="322">
        <v>26725</v>
      </c>
      <c r="D162" s="325">
        <v>0</v>
      </c>
      <c r="E162" s="321"/>
      <c r="F162" s="321"/>
      <c r="G162" s="321"/>
      <c r="H162" s="321"/>
      <c r="I162" s="321"/>
      <c r="J162" s="321"/>
      <c r="K162" s="305">
        <f>C162+D162+E162+F162+G162+H162+I162+J162</f>
        <v>26725</v>
      </c>
      <c r="L162" s="306">
        <f>D162+E162+F162+G162+H162+I162+J162</f>
        <v>0</v>
      </c>
    </row>
    <row r="163" spans="1:12" s="400" customFormat="1" ht="25.5" x14ac:dyDescent="0.2">
      <c r="A163" s="307" t="s">
        <v>724</v>
      </c>
      <c r="B163" s="320"/>
      <c r="C163" s="302">
        <v>16000</v>
      </c>
      <c r="D163" s="325"/>
      <c r="E163" s="321"/>
      <c r="F163" s="321"/>
      <c r="G163" s="321"/>
      <c r="H163" s="321"/>
      <c r="I163" s="321"/>
      <c r="J163" s="321"/>
      <c r="K163" s="305">
        <f>C163+D163+E163+F163+G163+H163+I163+J163</f>
        <v>16000</v>
      </c>
      <c r="L163" s="306">
        <f>D163+E163+F163+G163+H163+I163+J163</f>
        <v>0</v>
      </c>
    </row>
    <row r="164" spans="1:12" s="400" customFormat="1" ht="25.5" x14ac:dyDescent="0.2">
      <c r="A164" s="307" t="s">
        <v>725</v>
      </c>
      <c r="B164" s="320"/>
      <c r="C164" s="322">
        <v>5000</v>
      </c>
      <c r="D164" s="325"/>
      <c r="E164" s="321"/>
      <c r="F164" s="321"/>
      <c r="G164" s="321"/>
      <c r="H164" s="321"/>
      <c r="I164" s="321"/>
      <c r="J164" s="321"/>
      <c r="K164" s="305">
        <f>C164+D164+E164+F164+G164+H164+I164+J164</f>
        <v>5000</v>
      </c>
      <c r="L164" s="306">
        <f>D164+E164+F164+G164+H164+I164+J164</f>
        <v>0</v>
      </c>
    </row>
    <row r="165" spans="1:12" s="401" customFormat="1" ht="25.5" x14ac:dyDescent="0.2">
      <c r="A165" s="307" t="s">
        <v>726</v>
      </c>
      <c r="B165" s="324"/>
      <c r="C165" s="309"/>
      <c r="D165" s="325"/>
      <c r="E165" s="344"/>
      <c r="F165" s="321"/>
      <c r="G165" s="321"/>
      <c r="H165" s="321"/>
      <c r="I165" s="321"/>
      <c r="J165" s="321"/>
      <c r="K165" s="305">
        <f>C165+D165+E165+F165+G165+H165+I165+J165</f>
        <v>0</v>
      </c>
      <c r="L165" s="306">
        <f>D165+E165+F165+G165+H165+I165+J165</f>
        <v>0</v>
      </c>
    </row>
    <row r="166" spans="1:12" s="406" customFormat="1" ht="38.25" hidden="1" x14ac:dyDescent="0.25">
      <c r="A166" s="300" t="s">
        <v>727</v>
      </c>
      <c r="B166" s="339"/>
      <c r="C166" s="351">
        <v>0</v>
      </c>
      <c r="D166" s="303"/>
      <c r="E166" s="321">
        <v>0</v>
      </c>
      <c r="F166" s="304"/>
      <c r="G166" s="304">
        <f t="shared" ref="G166:J166" si="21">SUM(G167)</f>
        <v>0</v>
      </c>
      <c r="H166" s="304">
        <f t="shared" si="21"/>
        <v>0</v>
      </c>
      <c r="I166" s="304"/>
      <c r="J166" s="304">
        <f t="shared" si="21"/>
        <v>0</v>
      </c>
      <c r="K166" s="305">
        <f>C166+D166+E166+F166+G166+H166+I166+J166</f>
        <v>0</v>
      </c>
      <c r="L166" s="306">
        <f>D166+E166+F166+G166+H166+I166+J166</f>
        <v>0</v>
      </c>
    </row>
    <row r="167" spans="1:12" s="414" customFormat="1" ht="51" hidden="1" x14ac:dyDescent="0.25">
      <c r="A167" s="307" t="s">
        <v>728</v>
      </c>
      <c r="B167" s="324"/>
      <c r="C167" s="309"/>
      <c r="D167" s="344"/>
      <c r="E167" s="304"/>
      <c r="F167" s="321"/>
      <c r="G167" s="321"/>
      <c r="H167" s="321"/>
      <c r="I167" s="321"/>
      <c r="J167" s="321"/>
      <c r="K167" s="305">
        <f>C167+D167+E167+F167+G167+H167+I167+J167</f>
        <v>0</v>
      </c>
      <c r="L167" s="306">
        <f>D167+E167+F167+G167+H167+I167+J167</f>
        <v>0</v>
      </c>
    </row>
    <row r="168" spans="1:12" s="330" customFormat="1" ht="51" hidden="1" x14ac:dyDescent="0.25">
      <c r="A168" s="329" t="s">
        <v>729</v>
      </c>
      <c r="C168" s="353"/>
      <c r="D168" s="354">
        <f t="shared" ref="D168:J168" si="22">SUM(D169:D179)</f>
        <v>0</v>
      </c>
      <c r="E168" s="354">
        <f t="shared" si="22"/>
        <v>0</v>
      </c>
      <c r="F168" s="354">
        <f t="shared" si="22"/>
        <v>0</v>
      </c>
      <c r="G168" s="354">
        <f t="shared" si="22"/>
        <v>0</v>
      </c>
      <c r="H168" s="354">
        <f t="shared" si="22"/>
        <v>0</v>
      </c>
      <c r="I168" s="354">
        <f t="shared" si="22"/>
        <v>0</v>
      </c>
      <c r="J168" s="354">
        <f t="shared" si="22"/>
        <v>0</v>
      </c>
      <c r="K168" s="305">
        <f>C168+D168+E168+F168+G168+H168+I168+J168</f>
        <v>0</v>
      </c>
      <c r="L168" s="306">
        <f>D168+E168+F168+G168+H168+I168+J168</f>
        <v>0</v>
      </c>
    </row>
    <row r="169" spans="1:12" s="401" customFormat="1" hidden="1" x14ac:dyDescent="0.2">
      <c r="A169" s="307" t="s">
        <v>730</v>
      </c>
      <c r="B169" s="324"/>
      <c r="C169" s="322"/>
      <c r="D169" s="357"/>
      <c r="E169" s="323"/>
      <c r="F169" s="323"/>
      <c r="G169" s="323"/>
      <c r="H169" s="323"/>
      <c r="I169" s="323"/>
      <c r="J169" s="323"/>
      <c r="K169" s="305">
        <f>C169+D169+E169+F169+G169+H169+I169+J169</f>
        <v>0</v>
      </c>
      <c r="L169" s="306">
        <f>D169+E169+F169+G169+H169+I169+J169</f>
        <v>0</v>
      </c>
    </row>
    <row r="170" spans="1:12" s="401" customFormat="1" ht="25.5" hidden="1" x14ac:dyDescent="0.2">
      <c r="A170" s="307" t="s">
        <v>731</v>
      </c>
      <c r="B170" s="324"/>
      <c r="C170" s="322"/>
      <c r="D170" s="357"/>
      <c r="E170" s="323"/>
      <c r="F170" s="323"/>
      <c r="G170" s="323"/>
      <c r="H170" s="323"/>
      <c r="I170" s="323"/>
      <c r="J170" s="323"/>
      <c r="K170" s="305">
        <f>C170+D170+E170+F170+G170+H170+I170+J170</f>
        <v>0</v>
      </c>
      <c r="L170" s="306">
        <f>D170+E170+F170+G170+H170+I170+J170</f>
        <v>0</v>
      </c>
    </row>
    <row r="171" spans="1:12" s="401" customFormat="1" hidden="1" x14ac:dyDescent="0.2">
      <c r="A171" s="307" t="s">
        <v>732</v>
      </c>
      <c r="B171" s="324"/>
      <c r="C171" s="309"/>
      <c r="D171" s="357"/>
      <c r="E171" s="323"/>
      <c r="F171" s="323"/>
      <c r="G171" s="323"/>
      <c r="H171" s="323"/>
      <c r="I171" s="323"/>
      <c r="J171" s="323"/>
      <c r="K171" s="305">
        <f>C171+D171+E171+F171+G171+H171+I171+J171</f>
        <v>0</v>
      </c>
      <c r="L171" s="306">
        <f>D171+E171+F171+G171+H171+I171+J171</f>
        <v>0</v>
      </c>
    </row>
    <row r="172" spans="1:12" s="401" customFormat="1" hidden="1" x14ac:dyDescent="0.2">
      <c r="A172" s="307" t="s">
        <v>733</v>
      </c>
      <c r="B172" s="324"/>
      <c r="C172" s="322"/>
      <c r="D172" s="325"/>
      <c r="E172" s="321"/>
      <c r="F172" s="321"/>
      <c r="G172" s="321"/>
      <c r="H172" s="321"/>
      <c r="I172" s="321"/>
      <c r="J172" s="321"/>
      <c r="K172" s="305">
        <f>C172+D172+E172+F172+G172+H172+I172+J172</f>
        <v>0</v>
      </c>
      <c r="L172" s="306">
        <f>D172+E172+F172+G172+H172+I172+J172</f>
        <v>0</v>
      </c>
    </row>
    <row r="173" spans="1:12" s="401" customFormat="1" hidden="1" x14ac:dyDescent="0.2">
      <c r="A173" s="307" t="s">
        <v>734</v>
      </c>
      <c r="B173" s="324"/>
      <c r="C173" s="322"/>
      <c r="D173" s="325"/>
      <c r="E173" s="321"/>
      <c r="F173" s="321"/>
      <c r="G173" s="321"/>
      <c r="H173" s="321"/>
      <c r="I173" s="321"/>
      <c r="J173" s="321"/>
      <c r="K173" s="305">
        <f>C173+D173+E173+F173+G173+H173+I173+J173</f>
        <v>0</v>
      </c>
      <c r="L173" s="306">
        <f>D173+E173+F173+G173+H173+I173+J173</f>
        <v>0</v>
      </c>
    </row>
    <row r="174" spans="1:12" s="401" customFormat="1" ht="25.5" hidden="1" x14ac:dyDescent="0.2">
      <c r="A174" s="307" t="s">
        <v>735</v>
      </c>
      <c r="B174" s="324"/>
      <c r="C174" s="322"/>
      <c r="D174" s="325"/>
      <c r="E174" s="321"/>
      <c r="F174" s="321"/>
      <c r="G174" s="321"/>
      <c r="H174" s="321"/>
      <c r="I174" s="321"/>
      <c r="J174" s="321"/>
      <c r="K174" s="305">
        <f>C174+D174+E174+F174+G174+H174+I174+J174</f>
        <v>0</v>
      </c>
      <c r="L174" s="306">
        <f>D174+E174+F174+G174+H174+I174+J174</f>
        <v>0</v>
      </c>
    </row>
    <row r="175" spans="1:12" s="401" customFormat="1" ht="38.25" hidden="1" x14ac:dyDescent="0.2">
      <c r="A175" s="307" t="s">
        <v>736</v>
      </c>
      <c r="B175" s="324"/>
      <c r="C175" s="322"/>
      <c r="D175" s="325"/>
      <c r="E175" s="321"/>
      <c r="F175" s="321"/>
      <c r="G175" s="321"/>
      <c r="H175" s="321"/>
      <c r="I175" s="321"/>
      <c r="J175" s="321"/>
      <c r="K175" s="305">
        <f>C175+D175+E175+F175+G175+H175+I175+J175</f>
        <v>0</v>
      </c>
      <c r="L175" s="306">
        <f>D175+E175+F175+G175+H175+I175+J175</f>
        <v>0</v>
      </c>
    </row>
    <row r="176" spans="1:12" s="401" customFormat="1" hidden="1" x14ac:dyDescent="0.2">
      <c r="A176" s="307" t="s">
        <v>737</v>
      </c>
      <c r="B176" s="324"/>
      <c r="C176" s="322"/>
      <c r="D176" s="325"/>
      <c r="E176" s="321"/>
      <c r="F176" s="321"/>
      <c r="G176" s="321"/>
      <c r="H176" s="321"/>
      <c r="I176" s="321"/>
      <c r="J176" s="321"/>
      <c r="K176" s="305">
        <f>C176+D176+E176+F176+G176+H176+I176+J176</f>
        <v>0</v>
      </c>
      <c r="L176" s="306">
        <f>D176+E176+F176+G176+H176+I176+J176</f>
        <v>0</v>
      </c>
    </row>
    <row r="177" spans="1:12" s="401" customFormat="1" hidden="1" x14ac:dyDescent="0.2">
      <c r="A177" s="307" t="s">
        <v>738</v>
      </c>
      <c r="B177" s="324"/>
      <c r="C177" s="322"/>
      <c r="D177" s="325"/>
      <c r="E177" s="321"/>
      <c r="F177" s="321"/>
      <c r="G177" s="321"/>
      <c r="H177" s="321"/>
      <c r="I177" s="321"/>
      <c r="J177" s="321"/>
      <c r="K177" s="305">
        <f>C177+D177+E177+F177+G177+H177+I177+J177</f>
        <v>0</v>
      </c>
      <c r="L177" s="306">
        <f>D177+E177+F177+G177+H177+I177+J177</f>
        <v>0</v>
      </c>
    </row>
    <row r="178" spans="1:12" s="401" customFormat="1" ht="25.5" hidden="1" x14ac:dyDescent="0.2">
      <c r="A178" s="307" t="s">
        <v>739</v>
      </c>
      <c r="B178" s="324"/>
      <c r="C178" s="322"/>
      <c r="D178" s="325"/>
      <c r="E178" s="321"/>
      <c r="F178" s="321"/>
      <c r="G178" s="321"/>
      <c r="H178" s="321"/>
      <c r="I178" s="321"/>
      <c r="J178" s="321"/>
      <c r="K178" s="305">
        <f>C178+D178+E178+F178+G178+H178+I178+J178</f>
        <v>0</v>
      </c>
      <c r="L178" s="306">
        <f>D178+E178+F178+G178+H178+I178+J178</f>
        <v>0</v>
      </c>
    </row>
    <row r="179" spans="1:12" s="401" customFormat="1" hidden="1" x14ac:dyDescent="0.2">
      <c r="A179" s="307" t="s">
        <v>740</v>
      </c>
      <c r="B179" s="324"/>
      <c r="C179" s="322"/>
      <c r="D179" s="325"/>
      <c r="E179" s="321"/>
      <c r="F179" s="321"/>
      <c r="G179" s="321"/>
      <c r="H179" s="321"/>
      <c r="I179" s="321"/>
      <c r="J179" s="321"/>
      <c r="K179" s="305">
        <f>C179+D179+E179+F179+G179+H179+I179+J179</f>
        <v>0</v>
      </c>
      <c r="L179" s="306">
        <f>D179+E179+F179+G179+H179+I179+J179</f>
        <v>0</v>
      </c>
    </row>
    <row r="180" spans="1:12" s="411" customFormat="1" x14ac:dyDescent="0.25">
      <c r="A180" s="300" t="s">
        <v>741</v>
      </c>
      <c r="B180" s="301"/>
      <c r="C180" s="302"/>
      <c r="D180" s="316"/>
      <c r="E180" s="326"/>
      <c r="F180" s="326"/>
      <c r="G180" s="326"/>
      <c r="H180" s="326"/>
      <c r="I180" s="326"/>
      <c r="J180" s="326"/>
      <c r="K180" s="305">
        <f>C180+D180+E180+F180+G180+H180+I180+J180</f>
        <v>0</v>
      </c>
      <c r="L180" s="306">
        <f>D180+E180+F180+G180+H180+I180+J180</f>
        <v>0</v>
      </c>
    </row>
    <row r="181" spans="1:12" s="411" customFormat="1" x14ac:dyDescent="0.25">
      <c r="A181" s="300" t="s">
        <v>742</v>
      </c>
      <c r="B181" s="301"/>
      <c r="C181" s="302">
        <v>4500</v>
      </c>
      <c r="D181" s="316"/>
      <c r="E181" s="326"/>
      <c r="F181" s="326"/>
      <c r="G181" s="326"/>
      <c r="H181" s="326"/>
      <c r="I181" s="326"/>
      <c r="J181" s="326"/>
      <c r="K181" s="305">
        <f>C181+D181+E181+F181+G181+H181+I181+J181</f>
        <v>4500</v>
      </c>
      <c r="L181" s="306">
        <f>D181+E181+F181+G181+H181+I181+J181</f>
        <v>0</v>
      </c>
    </row>
    <row r="182" spans="1:12" s="411" customFormat="1" ht="25.5" x14ac:dyDescent="0.25">
      <c r="A182" s="300" t="s">
        <v>743</v>
      </c>
      <c r="B182" s="301"/>
      <c r="C182" s="302"/>
      <c r="D182" s="349"/>
      <c r="E182" s="349"/>
      <c r="F182" s="326"/>
      <c r="G182" s="326"/>
      <c r="H182" s="326"/>
      <c r="I182" s="326"/>
      <c r="J182" s="326"/>
      <c r="K182" s="305">
        <f>C182+D182+E182+F182+G182+H182+I182+J182</f>
        <v>0</v>
      </c>
      <c r="L182" s="306">
        <f>D182+E182+F182+G182+H182+I182+J182</f>
        <v>0</v>
      </c>
    </row>
    <row r="183" spans="1:12" s="330" customFormat="1" ht="38.25" x14ac:dyDescent="0.25">
      <c r="A183" s="329" t="s">
        <v>744</v>
      </c>
      <c r="C183" s="331">
        <v>1186087</v>
      </c>
      <c r="D183" s="354">
        <f t="shared" ref="D183:J183" si="23">SUM(D184:D193)</f>
        <v>0</v>
      </c>
      <c r="E183" s="354">
        <f t="shared" si="23"/>
        <v>0</v>
      </c>
      <c r="F183" s="354">
        <f t="shared" si="23"/>
        <v>0</v>
      </c>
      <c r="G183" s="354">
        <f t="shared" si="23"/>
        <v>0</v>
      </c>
      <c r="H183" s="354">
        <f t="shared" si="23"/>
        <v>0</v>
      </c>
      <c r="I183" s="354">
        <f t="shared" si="23"/>
        <v>0</v>
      </c>
      <c r="J183" s="354">
        <f t="shared" si="23"/>
        <v>0</v>
      </c>
      <c r="K183" s="305">
        <f>C183+D183+E183+F183+G183+H183+I183+J183</f>
        <v>1186087</v>
      </c>
      <c r="L183" s="306">
        <f>D183+E183+F183+G183+H183+I183+J183</f>
        <v>0</v>
      </c>
    </row>
    <row r="184" spans="1:12" s="400" customFormat="1" hidden="1" x14ac:dyDescent="0.2">
      <c r="A184" s="307" t="s">
        <v>745</v>
      </c>
      <c r="B184" s="320"/>
      <c r="C184" s="322">
        <v>10000</v>
      </c>
      <c r="D184" s="325"/>
      <c r="E184" s="321"/>
      <c r="F184" s="321"/>
      <c r="G184" s="321"/>
      <c r="H184" s="321"/>
      <c r="I184" s="321"/>
      <c r="J184" s="321"/>
      <c r="K184" s="305">
        <f>C184+D184+E184+F184+G184+H184+I184+J184</f>
        <v>10000</v>
      </c>
      <c r="L184" s="306">
        <f>D184+E184+F184+G184+H184+I184+J184</f>
        <v>0</v>
      </c>
    </row>
    <row r="185" spans="1:12" s="400" customFormat="1" ht="25.5" hidden="1" x14ac:dyDescent="0.2">
      <c r="A185" s="307" t="s">
        <v>746</v>
      </c>
      <c r="B185" s="320"/>
      <c r="C185" s="322"/>
      <c r="D185" s="325"/>
      <c r="E185" s="321"/>
      <c r="F185" s="321"/>
      <c r="G185" s="321"/>
      <c r="H185" s="321"/>
      <c r="I185" s="321"/>
      <c r="J185" s="321"/>
      <c r="K185" s="305">
        <f>C185+D185+E185+F185+G185+H185+I185+J185</f>
        <v>0</v>
      </c>
      <c r="L185" s="306">
        <f>D185+E185+F185+G185+H185+I185+J185</f>
        <v>0</v>
      </c>
    </row>
    <row r="186" spans="1:12" s="400" customFormat="1" hidden="1" x14ac:dyDescent="0.2">
      <c r="A186" s="307" t="s">
        <v>747</v>
      </c>
      <c r="B186" s="320"/>
      <c r="C186" s="322"/>
      <c r="D186" s="325"/>
      <c r="E186" s="321"/>
      <c r="F186" s="321"/>
      <c r="G186" s="321"/>
      <c r="H186" s="321"/>
      <c r="I186" s="321"/>
      <c r="J186" s="321"/>
      <c r="K186" s="305">
        <f>C186+D186+E186+F186+G186+H186+I186+J186</f>
        <v>0</v>
      </c>
      <c r="L186" s="306">
        <f>D186+E186+F186+G186+H186+I186+J186</f>
        <v>0</v>
      </c>
    </row>
    <row r="187" spans="1:12" s="400" customFormat="1" hidden="1" x14ac:dyDescent="0.2">
      <c r="A187" s="307" t="s">
        <v>748</v>
      </c>
      <c r="B187" s="320"/>
      <c r="C187" s="322"/>
      <c r="D187" s="325"/>
      <c r="E187" s="321"/>
      <c r="F187" s="321">
        <v>0</v>
      </c>
      <c r="G187" s="321"/>
      <c r="H187" s="321"/>
      <c r="I187" s="321"/>
      <c r="J187" s="321"/>
      <c r="K187" s="305">
        <f>C187+D187+E187+F187+G187+H187+I187+J187</f>
        <v>0</v>
      </c>
      <c r="L187" s="306">
        <f>D187+E187+F187+G187+H187+I187+J187</f>
        <v>0</v>
      </c>
    </row>
    <row r="188" spans="1:12" s="401" customFormat="1" hidden="1" x14ac:dyDescent="0.2">
      <c r="A188" s="307" t="s">
        <v>749</v>
      </c>
      <c r="B188" s="324"/>
      <c r="C188" s="322"/>
      <c r="D188" s="325"/>
      <c r="E188" s="321"/>
      <c r="F188" s="321"/>
      <c r="G188" s="321"/>
      <c r="H188" s="321"/>
      <c r="I188" s="321"/>
      <c r="J188" s="321"/>
      <c r="K188" s="305">
        <f>C188+D188+E188+F188+G188+H188+I188+J188</f>
        <v>0</v>
      </c>
      <c r="L188" s="306">
        <f>D188+E188+F188+G188+H188+I188+J188</f>
        <v>0</v>
      </c>
    </row>
    <row r="189" spans="1:12" s="401" customFormat="1" ht="25.5" hidden="1" x14ac:dyDescent="0.2">
      <c r="A189" s="307" t="s">
        <v>750</v>
      </c>
      <c r="B189" s="324"/>
      <c r="C189" s="322"/>
      <c r="D189" s="325"/>
      <c r="E189" s="321"/>
      <c r="F189" s="321"/>
      <c r="G189" s="321"/>
      <c r="H189" s="321"/>
      <c r="I189" s="321"/>
      <c r="J189" s="321"/>
      <c r="K189" s="305">
        <f>C189+D189+E189+F189+G189+H189+I189+J189</f>
        <v>0</v>
      </c>
      <c r="L189" s="306">
        <f>D189+E189+F189+G189+H189+I189+J189</f>
        <v>0</v>
      </c>
    </row>
    <row r="190" spans="1:12" s="400" customFormat="1" ht="38.25" hidden="1" x14ac:dyDescent="0.2">
      <c r="A190" s="307" t="s">
        <v>751</v>
      </c>
      <c r="B190" s="320"/>
      <c r="C190" s="322"/>
      <c r="D190" s="325"/>
      <c r="E190" s="321"/>
      <c r="F190" s="321"/>
      <c r="G190" s="321"/>
      <c r="H190" s="321"/>
      <c r="I190" s="321"/>
      <c r="J190" s="321"/>
      <c r="K190" s="305">
        <f>C190+D190+E190+F190+G190+H190+I190+J190</f>
        <v>0</v>
      </c>
      <c r="L190" s="306">
        <f>D190+E190+F190+G190+H190+I190+J190</f>
        <v>0</v>
      </c>
    </row>
    <row r="191" spans="1:12" s="401" customFormat="1" hidden="1" x14ac:dyDescent="0.2">
      <c r="A191" s="307" t="s">
        <v>752</v>
      </c>
      <c r="B191" s="324"/>
      <c r="C191" s="302"/>
      <c r="D191" s="325"/>
      <c r="E191" s="321"/>
      <c r="F191" s="321"/>
      <c r="G191" s="321"/>
      <c r="H191" s="321"/>
      <c r="I191" s="321"/>
      <c r="J191" s="321"/>
      <c r="K191" s="305">
        <f>C191+D191+E191+F191+G191+H191+I191+J191</f>
        <v>0</v>
      </c>
      <c r="L191" s="306">
        <f>D191+E191+F191+G191+H191+I191+J191</f>
        <v>0</v>
      </c>
    </row>
    <row r="192" spans="1:12" s="401" customFormat="1" ht="25.5" hidden="1" x14ac:dyDescent="0.2">
      <c r="A192" s="307" t="s">
        <v>753</v>
      </c>
      <c r="B192" s="324"/>
      <c r="C192" s="302"/>
      <c r="D192" s="325"/>
      <c r="E192" s="321"/>
      <c r="F192" s="321"/>
      <c r="G192" s="321"/>
      <c r="H192" s="321"/>
      <c r="I192" s="321"/>
      <c r="J192" s="321"/>
      <c r="K192" s="305">
        <f>C192+D192+E192+F192+G192+H192+I192+J192</f>
        <v>0</v>
      </c>
      <c r="L192" s="306">
        <f>D192+E192+F192+G192+H192+I192+J192</f>
        <v>0</v>
      </c>
    </row>
    <row r="193" spans="1:12" s="400" customFormat="1" hidden="1" x14ac:dyDescent="0.2">
      <c r="A193" s="307" t="s">
        <v>754</v>
      </c>
      <c r="B193" s="320"/>
      <c r="C193" s="302"/>
      <c r="D193" s="310"/>
      <c r="E193" s="310"/>
      <c r="F193" s="321"/>
      <c r="G193" s="321"/>
      <c r="H193" s="321"/>
      <c r="I193" s="321"/>
      <c r="J193" s="321"/>
      <c r="K193" s="305">
        <f>C193+D193+E193+F193+G193+H193+I193+J193</f>
        <v>0</v>
      </c>
      <c r="L193" s="306">
        <f>D193+E193+F193+G193+H193+I193+J193</f>
        <v>0</v>
      </c>
    </row>
    <row r="194" spans="1:12" s="415" customFormat="1" x14ac:dyDescent="0.2">
      <c r="A194" s="751" t="s">
        <v>755</v>
      </c>
      <c r="B194" s="358"/>
      <c r="C194" s="358">
        <f>SUM(C195:C196)</f>
        <v>1216850</v>
      </c>
      <c r="D194" s="358">
        <f t="shared" ref="D194:J194" si="24">SUM(D195:D196)</f>
        <v>0</v>
      </c>
      <c r="E194" s="358">
        <f t="shared" si="24"/>
        <v>0</v>
      </c>
      <c r="F194" s="358">
        <f t="shared" si="24"/>
        <v>0</v>
      </c>
      <c r="G194" s="358">
        <f t="shared" si="24"/>
        <v>0</v>
      </c>
      <c r="H194" s="358">
        <f t="shared" si="24"/>
        <v>0</v>
      </c>
      <c r="I194" s="358">
        <f t="shared" si="24"/>
        <v>0</v>
      </c>
      <c r="J194" s="358">
        <f t="shared" si="24"/>
        <v>0</v>
      </c>
      <c r="K194" s="305">
        <f>C194+D194+E194+F194+G194+H194+I194+J194</f>
        <v>1216850</v>
      </c>
      <c r="L194" s="306">
        <f>D194+E194+F194+G194+H194+I194+J194</f>
        <v>0</v>
      </c>
    </row>
    <row r="195" spans="1:12" s="416" customFormat="1" x14ac:dyDescent="0.2">
      <c r="A195" s="359" t="s">
        <v>902</v>
      </c>
      <c r="B195" s="360"/>
      <c r="C195" s="353">
        <f>+'6. melléklet'!C3</f>
        <v>150000</v>
      </c>
      <c r="D195" s="359"/>
      <c r="E195" s="361"/>
      <c r="F195" s="362"/>
      <c r="G195" s="362"/>
      <c r="H195" s="362"/>
      <c r="I195" s="362"/>
      <c r="J195" s="362"/>
      <c r="K195" s="305">
        <f>C195+D195+E195+F195+G195+H195+I195+J195</f>
        <v>150000</v>
      </c>
      <c r="L195" s="306">
        <f>D195+E195+F195+G195+H195+I195+J195</f>
        <v>0</v>
      </c>
    </row>
    <row r="196" spans="1:12" s="416" customFormat="1" x14ac:dyDescent="0.2">
      <c r="A196" s="359" t="s">
        <v>903</v>
      </c>
      <c r="B196" s="360"/>
      <c r="C196" s="353">
        <f>+'6. melléklet'!C4</f>
        <v>1066850</v>
      </c>
      <c r="D196" s="359"/>
      <c r="E196" s="362"/>
      <c r="F196" s="363"/>
      <c r="G196" s="363"/>
      <c r="H196" s="363"/>
      <c r="I196" s="363"/>
      <c r="J196" s="363"/>
      <c r="K196" s="305">
        <f>C196+D196+E196+F196+G196+H196+I196+J196</f>
        <v>1066850</v>
      </c>
      <c r="L196" s="306">
        <f>D196+E196+F196+G196+H196+I196+J196</f>
        <v>0</v>
      </c>
    </row>
    <row r="197" spans="1:12" s="313" customFormat="1" ht="38.25" x14ac:dyDescent="0.25">
      <c r="A197" s="312" t="s">
        <v>756</v>
      </c>
      <c r="B197" s="313" t="s">
        <v>25</v>
      </c>
      <c r="C197" s="314">
        <f>C194+C183+C182+C181+C180+C168+C166+C155+C144+C133+C132+C131+C126</f>
        <v>2877240</v>
      </c>
      <c r="D197" s="372">
        <f t="shared" ref="D197:J197" si="25">D194+D183+D182+D181+D180+D168+D166+D155+D144+D133+D132+D131+D126</f>
        <v>0</v>
      </c>
      <c r="E197" s="372">
        <f t="shared" si="25"/>
        <v>0</v>
      </c>
      <c r="F197" s="372">
        <f t="shared" si="25"/>
        <v>0</v>
      </c>
      <c r="G197" s="372">
        <f t="shared" si="25"/>
        <v>0</v>
      </c>
      <c r="H197" s="372">
        <f t="shared" si="25"/>
        <v>0</v>
      </c>
      <c r="I197" s="372">
        <f t="shared" si="25"/>
        <v>0</v>
      </c>
      <c r="J197" s="372">
        <f t="shared" si="25"/>
        <v>0</v>
      </c>
      <c r="K197" s="305">
        <f>C197+D197+E197+F197+G197+H197+I197+J197</f>
        <v>2877240</v>
      </c>
      <c r="L197" s="306">
        <f>D197+E197+F197+G197+H197+I197+J197</f>
        <v>0</v>
      </c>
    </row>
    <row r="198" spans="1:12" s="313" customFormat="1" x14ac:dyDescent="0.25">
      <c r="A198" s="312" t="s">
        <v>886</v>
      </c>
      <c r="B198" s="313" t="s">
        <v>885</v>
      </c>
      <c r="C198" s="318">
        <f t="shared" ref="C198:J198" si="26">C197+C125+C61+C23+C22</f>
        <v>5555619</v>
      </c>
      <c r="D198" s="346">
        <f t="shared" si="26"/>
        <v>1257417</v>
      </c>
      <c r="E198" s="346">
        <f t="shared" si="26"/>
        <v>1168401</v>
      </c>
      <c r="F198" s="346">
        <f t="shared" si="26"/>
        <v>2875720</v>
      </c>
      <c r="G198" s="346">
        <f t="shared" si="26"/>
        <v>899841</v>
      </c>
      <c r="H198" s="346">
        <f t="shared" si="26"/>
        <v>476616</v>
      </c>
      <c r="I198" s="346">
        <f t="shared" si="26"/>
        <v>510151</v>
      </c>
      <c r="J198" s="346">
        <f t="shared" si="26"/>
        <v>72523</v>
      </c>
      <c r="K198" s="305">
        <f>C198+D198+E198+F198+G198+H198+I198+J198</f>
        <v>12816288</v>
      </c>
      <c r="L198" s="306">
        <f>D198+E198+F198+G198+H198+I198+J198</f>
        <v>7260669</v>
      </c>
    </row>
    <row r="199" spans="1:12" s="408" customFormat="1" ht="25.5" x14ac:dyDescent="0.2">
      <c r="A199" s="312" t="s">
        <v>757</v>
      </c>
      <c r="B199" s="313"/>
      <c r="C199" s="318">
        <f>+'4. melléklet '!B5</f>
        <v>3937.0078740157483</v>
      </c>
      <c r="D199" s="364">
        <f>+'4. melléklet '!B67</f>
        <v>9449</v>
      </c>
      <c r="E199" s="365"/>
      <c r="F199" s="365">
        <f>+'4. melléklet '!B108</f>
        <v>3823</v>
      </c>
      <c r="G199" s="365">
        <f>+'4. melléklet '!B162</f>
        <v>0</v>
      </c>
      <c r="H199" s="365">
        <f>+'4. melléklet '!B217</f>
        <v>0</v>
      </c>
      <c r="I199" s="365">
        <f>+'4. melléklet '!B238</f>
        <v>0</v>
      </c>
      <c r="J199" s="365">
        <f>+'4. melléklet '!B256</f>
        <v>0</v>
      </c>
      <c r="K199" s="305">
        <f>C199+D199+E199+F199+G199+H199+I199+J199</f>
        <v>17209.007874015748</v>
      </c>
      <c r="L199" s="306">
        <f>D199+E199+F199+G199+H199+I199+J199</f>
        <v>13272</v>
      </c>
    </row>
    <row r="200" spans="1:12" s="408" customFormat="1" ht="25.5" x14ac:dyDescent="0.2">
      <c r="A200" s="312" t="s">
        <v>758</v>
      </c>
      <c r="B200" s="313"/>
      <c r="C200" s="318">
        <f>+'4. melléklet '!C5</f>
        <v>297688.18897637795</v>
      </c>
      <c r="D200" s="364">
        <f>+'4. melléklet '!C67</f>
        <v>0</v>
      </c>
      <c r="E200" s="366"/>
      <c r="F200" s="365">
        <f>+'4. melléklet '!C108</f>
        <v>0</v>
      </c>
      <c r="G200" s="365">
        <f>+'4. melléklet '!C162</f>
        <v>0</v>
      </c>
      <c r="H200" s="365">
        <f>+'4. melléklet '!C217</f>
        <v>0</v>
      </c>
      <c r="I200" s="365">
        <f>+'4. melléklet '!C238</f>
        <v>0</v>
      </c>
      <c r="J200" s="365">
        <f>+'4. melléklet '!C256</f>
        <v>0</v>
      </c>
      <c r="K200" s="305">
        <f>C200+D200+E200+F200+G200+H200+I200+J200</f>
        <v>297688.18897637795</v>
      </c>
      <c r="L200" s="306">
        <f>D200+E200+F200+G200+H200+I200+J200</f>
        <v>0</v>
      </c>
    </row>
    <row r="201" spans="1:12" s="417" customFormat="1" ht="25.5" hidden="1" x14ac:dyDescent="0.25">
      <c r="A201" s="307" t="s">
        <v>759</v>
      </c>
      <c r="B201" s="367"/>
      <c r="C201" s="368"/>
      <c r="D201" s="369"/>
      <c r="E201" s="369"/>
      <c r="F201" s="370"/>
      <c r="G201" s="370"/>
      <c r="H201" s="370"/>
      <c r="I201" s="370"/>
      <c r="J201" s="370"/>
      <c r="K201" s="305">
        <f>C201+D201+E201+F201+G201+H201+I201+J201</f>
        <v>0</v>
      </c>
      <c r="L201" s="306">
        <f>D201+E201+F201+G201+H201+I201+J201</f>
        <v>0</v>
      </c>
    </row>
    <row r="202" spans="1:12" s="408" customFormat="1" ht="25.5" x14ac:dyDescent="0.2">
      <c r="A202" s="312" t="s">
        <v>760</v>
      </c>
      <c r="B202" s="313"/>
      <c r="C202" s="318">
        <f>+'4. melléklet '!D5</f>
        <v>13385.826771653543</v>
      </c>
      <c r="D202" s="364">
        <f>+'4. melléklet '!D67</f>
        <v>5000</v>
      </c>
      <c r="E202" s="365"/>
      <c r="F202" s="365">
        <f>+'4. melléklet '!D108</f>
        <v>2617</v>
      </c>
      <c r="G202" s="365">
        <f>+'4. melléklet '!D162</f>
        <v>1000</v>
      </c>
      <c r="H202" s="365">
        <f>+'4. melléklet '!D217</f>
        <v>591</v>
      </c>
      <c r="I202" s="365">
        <f>+'4. melléklet '!D238</f>
        <v>1870</v>
      </c>
      <c r="J202" s="365">
        <f>+'4. melléklet '!D256</f>
        <v>0</v>
      </c>
      <c r="K202" s="305">
        <f>C202+D202+E202+F202+G202+H202+I202+J202</f>
        <v>24463.826771653541</v>
      </c>
      <c r="L202" s="306">
        <f>D202+E202+F202+G202+H202+I202+J202</f>
        <v>11078</v>
      </c>
    </row>
    <row r="203" spans="1:12" s="408" customFormat="1" ht="25.5" x14ac:dyDescent="0.2">
      <c r="A203" s="312" t="s">
        <v>761</v>
      </c>
      <c r="B203" s="313"/>
      <c r="C203" s="318">
        <f>+'4. melléklet '!E5</f>
        <v>187614.17322834645</v>
      </c>
      <c r="D203" s="364">
        <f>+'4. melléklet '!E67</f>
        <v>17511.992125984252</v>
      </c>
      <c r="E203" s="365">
        <v>1000</v>
      </c>
      <c r="F203" s="365">
        <f>+'4. melléklet '!E108</f>
        <v>165225</v>
      </c>
      <c r="G203" s="365">
        <f>+'4. melléklet '!E162</f>
        <v>7768</v>
      </c>
      <c r="H203" s="365">
        <f>+'4. melléklet '!E217</f>
        <v>5647</v>
      </c>
      <c r="I203" s="365">
        <f>+'4. melléklet '!E238</f>
        <v>2089</v>
      </c>
      <c r="J203" s="365">
        <f>+'4. melléklet '!E256</f>
        <v>1590</v>
      </c>
      <c r="K203" s="305">
        <f>C203+D203+E203+F203+G203+H203+I203+J203</f>
        <v>388445.16535433067</v>
      </c>
      <c r="L203" s="306">
        <f>D203+E203+F203+G203+H203+I203+J203</f>
        <v>200830.99212598425</v>
      </c>
    </row>
    <row r="204" spans="1:12" s="408" customFormat="1" x14ac:dyDescent="0.2">
      <c r="A204" s="312" t="s">
        <v>762</v>
      </c>
      <c r="B204" s="313"/>
      <c r="C204" s="318"/>
      <c r="D204" s="366">
        <f>+'4. melléklet '!F67</f>
        <v>0</v>
      </c>
      <c r="E204" s="366"/>
      <c r="F204" s="365">
        <f>+'4. melléklet '!F108</f>
        <v>0</v>
      </c>
      <c r="G204" s="365">
        <f>+'4. melléklet '!F162</f>
        <v>0</v>
      </c>
      <c r="H204" s="365">
        <f>+'4. melléklet '!F217</f>
        <v>0</v>
      </c>
      <c r="I204" s="365">
        <f>+'4. melléklet '!F238</f>
        <v>0</v>
      </c>
      <c r="J204" s="365">
        <f>+'4. melléklet '!F256</f>
        <v>0</v>
      </c>
      <c r="K204" s="305">
        <f>C204+D204+E204+F204+G204+H204+I204+J204</f>
        <v>0</v>
      </c>
      <c r="L204" s="306">
        <f>D204+E204+F204+G204+H204+I204+J204</f>
        <v>0</v>
      </c>
    </row>
    <row r="205" spans="1:12" s="408" customFormat="1" ht="25.5" x14ac:dyDescent="0.2">
      <c r="A205" s="312" t="s">
        <v>763</v>
      </c>
      <c r="B205" s="313"/>
      <c r="C205" s="318"/>
      <c r="D205" s="366">
        <f>+'4. melléklet '!G67</f>
        <v>0</v>
      </c>
      <c r="E205" s="366"/>
      <c r="F205" s="365">
        <f>+'4. melléklet '!G108</f>
        <v>0</v>
      </c>
      <c r="G205" s="365">
        <f>+'4. melléklet '!G162</f>
        <v>0</v>
      </c>
      <c r="H205" s="365">
        <f>+'4. melléklet '!G217</f>
        <v>0</v>
      </c>
      <c r="I205" s="365">
        <f>+'4. melléklet '!G238</f>
        <v>0</v>
      </c>
      <c r="J205" s="365">
        <f>+'4. melléklet '!G256</f>
        <v>0</v>
      </c>
      <c r="K205" s="305">
        <f>C205+D205+E205+F205+G205+H205+I205+J205</f>
        <v>0</v>
      </c>
      <c r="L205" s="306">
        <f>D205+E205+F205+G205+H205+I205+J205</f>
        <v>0</v>
      </c>
    </row>
    <row r="206" spans="1:12" s="408" customFormat="1" ht="38.25" x14ac:dyDescent="0.2">
      <c r="A206" s="312" t="s">
        <v>764</v>
      </c>
      <c r="B206" s="313"/>
      <c r="C206" s="318">
        <f>+'4. melléklet '!H5</f>
        <v>135709.80314960633</v>
      </c>
      <c r="D206" s="371">
        <f>+'4. melléklet '!H67</f>
        <v>8629</v>
      </c>
      <c r="E206" s="365">
        <v>270</v>
      </c>
      <c r="F206" s="365">
        <f>+'4. melléklet '!H108</f>
        <v>46349.55000000001</v>
      </c>
      <c r="G206" s="365">
        <f>+'4. melléklet '!H162</f>
        <v>2366</v>
      </c>
      <c r="H206" s="365">
        <f>+'4. melléklet '!H217</f>
        <v>1721</v>
      </c>
      <c r="I206" s="365">
        <f>+'4. melléklet '!H238</f>
        <v>1068</v>
      </c>
      <c r="J206" s="365">
        <f>+'4. melléklet '!H256</f>
        <v>429</v>
      </c>
      <c r="K206" s="305">
        <f>C206+D206+E206+F206+G206+H206+I206+J206</f>
        <v>196542.35314960635</v>
      </c>
      <c r="L206" s="306">
        <f>D206+E206+F206+G206+H206+I206+J206</f>
        <v>60832.55000000001</v>
      </c>
    </row>
    <row r="207" spans="1:12" s="313" customFormat="1" ht="25.5" x14ac:dyDescent="0.25">
      <c r="A207" s="312" t="s">
        <v>765</v>
      </c>
      <c r="B207" s="313" t="s">
        <v>26</v>
      </c>
      <c r="C207" s="318">
        <f>C206+C205+C204+C203+C202+C200+C199</f>
        <v>638335</v>
      </c>
      <c r="D207" s="346">
        <f t="shared" ref="D207:J207" si="27">D206+D205+D204+D203+D202+D200+D199</f>
        <v>40589.992125984252</v>
      </c>
      <c r="E207" s="346">
        <f t="shared" si="27"/>
        <v>1270</v>
      </c>
      <c r="F207" s="346">
        <f t="shared" si="27"/>
        <v>218014.55000000002</v>
      </c>
      <c r="G207" s="346">
        <f t="shared" si="27"/>
        <v>11134</v>
      </c>
      <c r="H207" s="346">
        <f t="shared" si="27"/>
        <v>7959</v>
      </c>
      <c r="I207" s="346">
        <f t="shared" si="27"/>
        <v>5027</v>
      </c>
      <c r="J207" s="346">
        <f t="shared" si="27"/>
        <v>2019</v>
      </c>
      <c r="K207" s="305">
        <f>C207+D207+E207+F207+G207+H207+I207+J207</f>
        <v>924348.54212598433</v>
      </c>
      <c r="L207" s="306">
        <f>D207+E207+F207+G207+H207+I207+J207</f>
        <v>286013.54212598427</v>
      </c>
    </row>
    <row r="208" spans="1:12" s="408" customFormat="1" x14ac:dyDescent="0.2">
      <c r="A208" s="312" t="s">
        <v>766</v>
      </c>
      <c r="B208" s="313"/>
      <c r="C208" s="318">
        <f>+'4. melléklet '!J5</f>
        <v>315275.59055118111</v>
      </c>
      <c r="D208" s="371">
        <f>+'4. melléklet '!J74</f>
        <v>5000</v>
      </c>
      <c r="E208" s="365"/>
      <c r="F208" s="365">
        <f>+'4. melléklet '!J108</f>
        <v>407796</v>
      </c>
      <c r="G208" s="365">
        <f>+'4. melléklet '!J162</f>
        <v>19294</v>
      </c>
      <c r="H208" s="365">
        <f>+'4. melléklet '!J217</f>
        <v>37638</v>
      </c>
      <c r="I208" s="365">
        <f>+'4. melléklet '!J238</f>
        <v>5969</v>
      </c>
      <c r="J208" s="365">
        <f>+'4. melléklet '!J256</f>
        <v>18321</v>
      </c>
      <c r="K208" s="305">
        <f>C208+D208+E208+F208+G208+H208+I208+J208</f>
        <v>809293.59055118111</v>
      </c>
      <c r="L208" s="306">
        <f>D208+E208+F208+G208+H208+I208+J208</f>
        <v>494018</v>
      </c>
    </row>
    <row r="209" spans="1:12" s="408" customFormat="1" x14ac:dyDescent="0.2">
      <c r="A209" s="312" t="s">
        <v>767</v>
      </c>
      <c r="B209" s="313"/>
      <c r="C209" s="318">
        <v>0</v>
      </c>
      <c r="D209" s="371">
        <f>+'4. melléklet '!K75</f>
        <v>15000</v>
      </c>
      <c r="E209" s="366"/>
      <c r="F209" s="365">
        <f>+'4. melléklet '!K108</f>
        <v>0</v>
      </c>
      <c r="G209" s="365">
        <f>+'4. melléklet '!K162</f>
        <v>0</v>
      </c>
      <c r="H209" s="365">
        <f>+'4. melléklet '!K217</f>
        <v>0</v>
      </c>
      <c r="I209" s="365">
        <f>+'4. melléklet '!K238</f>
        <v>0</v>
      </c>
      <c r="J209" s="365">
        <f>+'4. melléklet '!K256</f>
        <v>0</v>
      </c>
      <c r="K209" s="305">
        <f>C209+D209+E209+F209+G209+H209+I209+J209</f>
        <v>15000</v>
      </c>
      <c r="L209" s="306">
        <f>D209+E209+F209+G209+H209+I209+J209</f>
        <v>15000</v>
      </c>
    </row>
    <row r="210" spans="1:12" s="408" customFormat="1" ht="25.5" x14ac:dyDescent="0.2">
      <c r="A210" s="312" t="s">
        <v>768</v>
      </c>
      <c r="B210" s="313"/>
      <c r="C210" s="318">
        <v>0</v>
      </c>
      <c r="D210" s="371">
        <f>+'4. melléklet '!L76</f>
        <v>5000</v>
      </c>
      <c r="E210" s="366"/>
      <c r="F210" s="365">
        <f>+'4. melléklet '!L108</f>
        <v>0</v>
      </c>
      <c r="G210" s="365">
        <f>+'4. melléklet '!L162</f>
        <v>0</v>
      </c>
      <c r="H210" s="365">
        <f>+'4. melléklet '!L217</f>
        <v>0</v>
      </c>
      <c r="I210" s="365">
        <f>+'4. melléklet '!L238</f>
        <v>0</v>
      </c>
      <c r="J210" s="365">
        <f>+'4. melléklet '!L256</f>
        <v>0</v>
      </c>
      <c r="K210" s="305">
        <f>C210+D210+E210+F210+G210+H210+I210+J210</f>
        <v>5000</v>
      </c>
      <c r="L210" s="306">
        <f>D210+E210+F210+G210+H210+I210+J210</f>
        <v>5000</v>
      </c>
    </row>
    <row r="211" spans="1:12" s="408" customFormat="1" ht="25.5" x14ac:dyDescent="0.2">
      <c r="A211" s="312" t="s">
        <v>769</v>
      </c>
      <c r="B211" s="313"/>
      <c r="C211" s="318">
        <f>+'4. melléklet '!M5</f>
        <v>85124.409448818915</v>
      </c>
      <c r="D211" s="371">
        <f>+'4. melléklet '!M67</f>
        <v>6750</v>
      </c>
      <c r="E211" s="365"/>
      <c r="F211" s="365">
        <f>+'4. melléklet '!M108</f>
        <v>110104.51</v>
      </c>
      <c r="G211" s="365">
        <f>+'4. melléklet '!M162</f>
        <v>5206</v>
      </c>
      <c r="H211" s="365">
        <f>+'4. melléklet '!M217</f>
        <v>10162</v>
      </c>
      <c r="I211" s="365">
        <f>+'4. melléklet '!M238</f>
        <v>1611</v>
      </c>
      <c r="J211" s="365">
        <f>+'4. melléklet '!M256</f>
        <v>4947</v>
      </c>
      <c r="K211" s="305">
        <f>C211+D211+E211+F211+G211+H211+I211+J211</f>
        <v>223904.9194488189</v>
      </c>
      <c r="L211" s="306">
        <f>D211+E211+F211+G211+H211+I211+J211</f>
        <v>138780.51</v>
      </c>
    </row>
    <row r="212" spans="1:12" s="313" customFormat="1" ht="21.75" customHeight="1" x14ac:dyDescent="0.25">
      <c r="A212" s="312" t="s">
        <v>770</v>
      </c>
      <c r="B212" s="313" t="s">
        <v>27</v>
      </c>
      <c r="C212" s="318">
        <f>SUM(C208:C211)</f>
        <v>400400</v>
      </c>
      <c r="D212" s="346">
        <f t="shared" ref="D212:J212" si="28">SUM(D208:D211)</f>
        <v>31750</v>
      </c>
      <c r="E212" s="346">
        <f t="shared" si="28"/>
        <v>0</v>
      </c>
      <c r="F212" s="346">
        <f t="shared" si="28"/>
        <v>517900.51</v>
      </c>
      <c r="G212" s="346">
        <f t="shared" si="28"/>
        <v>24500</v>
      </c>
      <c r="H212" s="346">
        <f t="shared" si="28"/>
        <v>47800</v>
      </c>
      <c r="I212" s="346">
        <f t="shared" si="28"/>
        <v>7580</v>
      </c>
      <c r="J212" s="346">
        <f t="shared" si="28"/>
        <v>23268</v>
      </c>
      <c r="K212" s="305">
        <f>C212+D212+E212+F212+G212+H212+I212+J212</f>
        <v>1053198.51</v>
      </c>
      <c r="L212" s="306">
        <f>D212+E212+F212+G212+H212+I212+J212</f>
        <v>652798.51</v>
      </c>
    </row>
    <row r="213" spans="1:12" s="405" customFormat="1" ht="51" hidden="1" x14ac:dyDescent="0.25">
      <c r="A213" s="334" t="s">
        <v>771</v>
      </c>
      <c r="B213" s="335"/>
      <c r="C213" s="336">
        <v>0</v>
      </c>
      <c r="D213" s="341"/>
      <c r="E213" s="337"/>
      <c r="F213" s="342"/>
      <c r="G213" s="342"/>
      <c r="H213" s="342"/>
      <c r="I213" s="342"/>
      <c r="J213" s="342"/>
      <c r="K213" s="305">
        <f>C213+D213+E213+F213+G213+H213+I213+J213</f>
        <v>0</v>
      </c>
      <c r="L213" s="306">
        <f>D213+E213+F213+G213+H213+I213+J213</f>
        <v>0</v>
      </c>
    </row>
    <row r="214" spans="1:12" s="313" customFormat="1" ht="51" hidden="1" x14ac:dyDescent="0.25">
      <c r="A214" s="312" t="s">
        <v>772</v>
      </c>
      <c r="C214" s="314">
        <f>SUM(C215:C224)</f>
        <v>0</v>
      </c>
      <c r="D214" s="372">
        <f t="shared" ref="D214:J214" si="29">SUM(D215:D224)</f>
        <v>0</v>
      </c>
      <c r="E214" s="372">
        <f t="shared" si="29"/>
        <v>0</v>
      </c>
      <c r="F214" s="372">
        <f t="shared" si="29"/>
        <v>0</v>
      </c>
      <c r="G214" s="372">
        <f t="shared" si="29"/>
        <v>0</v>
      </c>
      <c r="H214" s="372">
        <f t="shared" si="29"/>
        <v>0</v>
      </c>
      <c r="I214" s="372">
        <f t="shared" si="29"/>
        <v>0</v>
      </c>
      <c r="J214" s="372">
        <f t="shared" si="29"/>
        <v>0</v>
      </c>
      <c r="K214" s="305">
        <f>C214+D214+E214+F214+G214+H214+I214+J214</f>
        <v>0</v>
      </c>
      <c r="L214" s="306">
        <f>D214+E214+F214+G214+H214+I214+J214</f>
        <v>0</v>
      </c>
    </row>
    <row r="215" spans="1:12" s="401" customFormat="1" ht="25.5" hidden="1" customHeight="1" x14ac:dyDescent="0.2">
      <c r="A215" s="307" t="s">
        <v>773</v>
      </c>
      <c r="B215" s="324"/>
      <c r="C215" s="309"/>
      <c r="D215" s="325"/>
      <c r="E215" s="321"/>
      <c r="F215" s="321"/>
      <c r="G215" s="321"/>
      <c r="H215" s="321"/>
      <c r="I215" s="321"/>
      <c r="J215" s="321"/>
      <c r="K215" s="305">
        <f>C215+D215+E215+F215+G215+H215+I215+J215</f>
        <v>0</v>
      </c>
      <c r="L215" s="306">
        <f>D215+E215+F215+G215+H215+I215+J215</f>
        <v>0</v>
      </c>
    </row>
    <row r="216" spans="1:12" s="401" customFormat="1" ht="25.5" hidden="1" x14ac:dyDescent="0.2">
      <c r="A216" s="307" t="s">
        <v>774</v>
      </c>
      <c r="B216" s="324"/>
      <c r="C216" s="322"/>
      <c r="D216" s="325"/>
      <c r="E216" s="321"/>
      <c r="F216" s="321"/>
      <c r="G216" s="321"/>
      <c r="H216" s="321"/>
      <c r="I216" s="321"/>
      <c r="J216" s="321"/>
      <c r="K216" s="305">
        <f>C216+D216+E216+F216+G216+H216+I216+J216</f>
        <v>0</v>
      </c>
      <c r="L216" s="306">
        <f>D216+E216+F216+G216+H216+I216+J216</f>
        <v>0</v>
      </c>
    </row>
    <row r="217" spans="1:12" s="401" customFormat="1" ht="38.25" hidden="1" x14ac:dyDescent="0.2">
      <c r="A217" s="307" t="s">
        <v>775</v>
      </c>
      <c r="B217" s="324"/>
      <c r="C217" s="309"/>
      <c r="D217" s="325"/>
      <c r="E217" s="321"/>
      <c r="F217" s="321"/>
      <c r="G217" s="321"/>
      <c r="H217" s="321"/>
      <c r="I217" s="321"/>
      <c r="J217" s="321"/>
      <c r="K217" s="305">
        <f>C217+D217+E217+F217+G217+H217+I217+J217</f>
        <v>0</v>
      </c>
      <c r="L217" s="306">
        <f>D217+E217+F217+G217+H217+I217+J217</f>
        <v>0</v>
      </c>
    </row>
    <row r="218" spans="1:12" s="401" customFormat="1" ht="25.5" hidden="1" x14ac:dyDescent="0.2">
      <c r="A218" s="307" t="s">
        <v>776</v>
      </c>
      <c r="B218" s="324"/>
      <c r="C218" s="322"/>
      <c r="D218" s="325"/>
      <c r="E218" s="321"/>
      <c r="F218" s="321"/>
      <c r="G218" s="321"/>
      <c r="H218" s="321"/>
      <c r="I218" s="321"/>
      <c r="J218" s="321"/>
      <c r="K218" s="305">
        <f>C218+D218+E218+F218+G218+H218+I218+J218</f>
        <v>0</v>
      </c>
      <c r="L218" s="306">
        <f>D218+E218+F218+G218+H218+I218+J218</f>
        <v>0</v>
      </c>
    </row>
    <row r="219" spans="1:12" s="401" customFormat="1" ht="25.5" hidden="1" x14ac:dyDescent="0.2">
      <c r="A219" s="307" t="s">
        <v>777</v>
      </c>
      <c r="B219" s="324"/>
      <c r="C219" s="322"/>
      <c r="D219" s="325"/>
      <c r="E219" s="321"/>
      <c r="F219" s="321"/>
      <c r="G219" s="321"/>
      <c r="H219" s="321"/>
      <c r="I219" s="321"/>
      <c r="J219" s="321"/>
      <c r="K219" s="305">
        <f>C219+D219+E219+F219+G219+H219+I219+J219</f>
        <v>0</v>
      </c>
      <c r="L219" s="306">
        <f>D219+E219+F219+G219+H219+I219+J219</f>
        <v>0</v>
      </c>
    </row>
    <row r="220" spans="1:12" s="401" customFormat="1" ht="25.5" hidden="1" x14ac:dyDescent="0.2">
      <c r="A220" s="307" t="s">
        <v>778</v>
      </c>
      <c r="B220" s="324"/>
      <c r="C220" s="322"/>
      <c r="D220" s="325"/>
      <c r="E220" s="321"/>
      <c r="F220" s="321"/>
      <c r="G220" s="321"/>
      <c r="H220" s="321"/>
      <c r="I220" s="321"/>
      <c r="J220" s="321"/>
      <c r="K220" s="305">
        <f>C220+D220+E220+F220+G220+H220+I220+J220</f>
        <v>0</v>
      </c>
      <c r="L220" s="306">
        <f>D220+E220+F220+G220+H220+I220+J220</f>
        <v>0</v>
      </c>
    </row>
    <row r="221" spans="1:12" s="401" customFormat="1" ht="25.5" hidden="1" x14ac:dyDescent="0.2">
      <c r="A221" s="307" t="s">
        <v>779</v>
      </c>
      <c r="B221" s="324"/>
      <c r="C221" s="322"/>
      <c r="D221" s="325"/>
      <c r="E221" s="321"/>
      <c r="F221" s="321"/>
      <c r="G221" s="321"/>
      <c r="H221" s="321"/>
      <c r="I221" s="321"/>
      <c r="J221" s="321"/>
      <c r="K221" s="305">
        <f>C221+D221+E221+F221+G221+H221+I221+J221</f>
        <v>0</v>
      </c>
      <c r="L221" s="306">
        <f>D221+E221+F221+G221+H221+I221+J221</f>
        <v>0</v>
      </c>
    </row>
    <row r="222" spans="1:12" s="401" customFormat="1" ht="25.5" hidden="1" x14ac:dyDescent="0.2">
      <c r="A222" s="307" t="s">
        <v>780</v>
      </c>
      <c r="B222" s="324"/>
      <c r="C222" s="322"/>
      <c r="D222" s="325"/>
      <c r="E222" s="321"/>
      <c r="F222" s="321"/>
      <c r="G222" s="321"/>
      <c r="H222" s="321"/>
      <c r="I222" s="321"/>
      <c r="J222" s="321"/>
      <c r="K222" s="305">
        <f>C222+D222+E222+F222+G222+H222+I222+J222</f>
        <v>0</v>
      </c>
      <c r="L222" s="306">
        <f>D222+E222+F222+G222+H222+I222+J222</f>
        <v>0</v>
      </c>
    </row>
    <row r="223" spans="1:12" s="401" customFormat="1" ht="25.5" hidden="1" x14ac:dyDescent="0.2">
      <c r="A223" s="307" t="s">
        <v>781</v>
      </c>
      <c r="B223" s="324"/>
      <c r="C223" s="322"/>
      <c r="D223" s="344"/>
      <c r="E223" s="344"/>
      <c r="F223" s="321"/>
      <c r="G223" s="321"/>
      <c r="H223" s="321"/>
      <c r="I223" s="321"/>
      <c r="J223" s="321"/>
      <c r="K223" s="305">
        <f>C223+D223+E223+F223+G223+H223+I223+J223</f>
        <v>0</v>
      </c>
      <c r="L223" s="306">
        <f>D223+E223+F223+G223+H223+I223+J223</f>
        <v>0</v>
      </c>
    </row>
    <row r="224" spans="1:12" s="401" customFormat="1" ht="25.5" hidden="1" x14ac:dyDescent="0.2">
      <c r="A224" s="307" t="s">
        <v>782</v>
      </c>
      <c r="B224" s="324"/>
      <c r="C224" s="322"/>
      <c r="D224" s="325"/>
      <c r="E224" s="321"/>
      <c r="F224" s="321"/>
      <c r="G224" s="321"/>
      <c r="H224" s="321"/>
      <c r="I224" s="321"/>
      <c r="J224" s="321"/>
      <c r="K224" s="305">
        <f>C224+D224+E224+F224+G224+H224+I224+J224</f>
        <v>0</v>
      </c>
      <c r="L224" s="306">
        <f>D224+E224+F224+G224+H224+I224+J224</f>
        <v>0</v>
      </c>
    </row>
    <row r="225" spans="1:12" s="313" customFormat="1" ht="51" hidden="1" x14ac:dyDescent="0.25">
      <c r="A225" s="312" t="s">
        <v>783</v>
      </c>
      <c r="C225" s="314">
        <f>SUM(C226:C235)</f>
        <v>0</v>
      </c>
      <c r="D225" s="372">
        <f t="shared" ref="D225:J225" si="30">SUM(D226:D235)</f>
        <v>0</v>
      </c>
      <c r="E225" s="372">
        <f t="shared" si="30"/>
        <v>0</v>
      </c>
      <c r="F225" s="372">
        <f t="shared" si="30"/>
        <v>0</v>
      </c>
      <c r="G225" s="372">
        <f t="shared" si="30"/>
        <v>0</v>
      </c>
      <c r="H225" s="372">
        <f t="shared" si="30"/>
        <v>0</v>
      </c>
      <c r="I225" s="372">
        <f t="shared" si="30"/>
        <v>0</v>
      </c>
      <c r="J225" s="372">
        <f t="shared" si="30"/>
        <v>0</v>
      </c>
      <c r="K225" s="305">
        <f>C225+D225+E225+F225+G225+H225+I225+J225</f>
        <v>0</v>
      </c>
      <c r="L225" s="306">
        <f>D225+E225+F225+G225+H225+I225+J225</f>
        <v>0</v>
      </c>
    </row>
    <row r="226" spans="1:12" s="412" customFormat="1" ht="26.25" hidden="1" customHeight="1" x14ac:dyDescent="0.2">
      <c r="A226" s="307" t="s">
        <v>784</v>
      </c>
      <c r="B226" s="324"/>
      <c r="C226" s="322"/>
      <c r="D226" s="325"/>
      <c r="E226" s="321"/>
      <c r="F226" s="321"/>
      <c r="G226" s="321"/>
      <c r="H226" s="321"/>
      <c r="I226" s="321"/>
      <c r="J226" s="321"/>
      <c r="K226" s="305">
        <f>C226+D226+E226+F226+G226+H226+I226+J226</f>
        <v>0</v>
      </c>
      <c r="L226" s="306">
        <f>D226+E226+F226+G226+H226+I226+J226</f>
        <v>0</v>
      </c>
    </row>
    <row r="227" spans="1:12" s="401" customFormat="1" ht="25.5" hidden="1" x14ac:dyDescent="0.2">
      <c r="A227" s="307" t="s">
        <v>785</v>
      </c>
      <c r="B227" s="324"/>
      <c r="C227" s="322"/>
      <c r="D227" s="325"/>
      <c r="E227" s="321"/>
      <c r="F227" s="321"/>
      <c r="G227" s="321"/>
      <c r="H227" s="321"/>
      <c r="I227" s="321"/>
      <c r="J227" s="321"/>
      <c r="K227" s="305">
        <f>C227+D227+E227+F227+G227+H227+I227+J227</f>
        <v>0</v>
      </c>
      <c r="L227" s="306">
        <f>D227+E227+F227+G227+H227+I227+J227</f>
        <v>0</v>
      </c>
    </row>
    <row r="228" spans="1:12" s="401" customFormat="1" ht="38.25" hidden="1" x14ac:dyDescent="0.2">
      <c r="A228" s="307" t="s">
        <v>786</v>
      </c>
      <c r="B228" s="324"/>
      <c r="C228" s="309"/>
      <c r="D228" s="325"/>
      <c r="E228" s="321"/>
      <c r="F228" s="321"/>
      <c r="G228" s="321"/>
      <c r="H228" s="321"/>
      <c r="I228" s="321"/>
      <c r="J228" s="321"/>
      <c r="K228" s="305">
        <f>C228+D228+E228+F228+G228+H228+I228+J228</f>
        <v>0</v>
      </c>
      <c r="L228" s="306">
        <f>D228+E228+F228+G228+H228+I228+J228</f>
        <v>0</v>
      </c>
    </row>
    <row r="229" spans="1:12" s="401" customFormat="1" ht="25.5" hidden="1" x14ac:dyDescent="0.2">
      <c r="A229" s="307" t="s">
        <v>787</v>
      </c>
      <c r="B229" s="324"/>
      <c r="C229" s="322"/>
      <c r="D229" s="325"/>
      <c r="E229" s="321"/>
      <c r="F229" s="321"/>
      <c r="G229" s="321"/>
      <c r="H229" s="321"/>
      <c r="I229" s="321"/>
      <c r="J229" s="321"/>
      <c r="K229" s="305">
        <f>C229+D229+E229+F229+G229+H229+I229+J229</f>
        <v>0</v>
      </c>
      <c r="L229" s="306">
        <f>D229+E229+F229+G229+H229+I229+J229</f>
        <v>0</v>
      </c>
    </row>
    <row r="230" spans="1:12" s="401" customFormat="1" ht="25.5" hidden="1" x14ac:dyDescent="0.2">
      <c r="A230" s="307" t="s">
        <v>788</v>
      </c>
      <c r="B230" s="324"/>
      <c r="C230" s="322"/>
      <c r="D230" s="325"/>
      <c r="E230" s="321"/>
      <c r="F230" s="321"/>
      <c r="G230" s="321"/>
      <c r="H230" s="321"/>
      <c r="I230" s="321"/>
      <c r="J230" s="321"/>
      <c r="K230" s="305">
        <f>C230+D230+E230+F230+G230+H230+I230+J230</f>
        <v>0</v>
      </c>
      <c r="L230" s="306">
        <f>D230+E230+F230+G230+H230+I230+J230</f>
        <v>0</v>
      </c>
    </row>
    <row r="231" spans="1:12" s="401" customFormat="1" ht="25.5" hidden="1" x14ac:dyDescent="0.2">
      <c r="A231" s="307" t="s">
        <v>789</v>
      </c>
      <c r="B231" s="324"/>
      <c r="C231" s="322"/>
      <c r="D231" s="325"/>
      <c r="E231" s="321"/>
      <c r="F231" s="321"/>
      <c r="G231" s="321"/>
      <c r="H231" s="321"/>
      <c r="I231" s="321"/>
      <c r="J231" s="321"/>
      <c r="K231" s="305">
        <f>C231+D231+E231+F231+G231+H231+I231+J231</f>
        <v>0</v>
      </c>
      <c r="L231" s="306">
        <f>D231+E231+F231+G231+H231+I231+J231</f>
        <v>0</v>
      </c>
    </row>
    <row r="232" spans="1:12" s="401" customFormat="1" ht="25.5" hidden="1" x14ac:dyDescent="0.2">
      <c r="A232" s="307" t="s">
        <v>790</v>
      </c>
      <c r="B232" s="324"/>
      <c r="C232" s="322"/>
      <c r="D232" s="325"/>
      <c r="E232" s="321"/>
      <c r="F232" s="321"/>
      <c r="G232" s="321"/>
      <c r="H232" s="321"/>
      <c r="I232" s="321"/>
      <c r="J232" s="321"/>
      <c r="K232" s="305">
        <f>C232+D232+E232+F232+G232+H232+I232+J232</f>
        <v>0</v>
      </c>
      <c r="L232" s="306">
        <f>D232+E232+F232+G232+H232+I232+J232</f>
        <v>0</v>
      </c>
    </row>
    <row r="233" spans="1:12" s="401" customFormat="1" ht="25.5" hidden="1" x14ac:dyDescent="0.2">
      <c r="A233" s="307" t="s">
        <v>791</v>
      </c>
      <c r="B233" s="324"/>
      <c r="C233" s="322"/>
      <c r="D233" s="325"/>
      <c r="E233" s="321"/>
      <c r="F233" s="321"/>
      <c r="G233" s="321"/>
      <c r="H233" s="321"/>
      <c r="I233" s="321"/>
      <c r="J233" s="321"/>
      <c r="K233" s="305">
        <f>C233+D233+E233+F233+G233+H233+I233+J233</f>
        <v>0</v>
      </c>
      <c r="L233" s="306">
        <f>D233+E233+F233+G233+H233+I233+J233</f>
        <v>0</v>
      </c>
    </row>
    <row r="234" spans="1:12" s="401" customFormat="1" ht="25.5" hidden="1" x14ac:dyDescent="0.2">
      <c r="A234" s="307" t="s">
        <v>792</v>
      </c>
      <c r="B234" s="324"/>
      <c r="C234" s="322"/>
      <c r="D234" s="344"/>
      <c r="E234" s="344"/>
      <c r="F234" s="321"/>
      <c r="G234" s="321"/>
      <c r="H234" s="321"/>
      <c r="I234" s="321"/>
      <c r="J234" s="321"/>
      <c r="K234" s="305">
        <f>C234+D234+E234+F234+G234+H234+I234+J234</f>
        <v>0</v>
      </c>
      <c r="L234" s="306">
        <f>D234+E234+F234+G234+H234+I234+J234</f>
        <v>0</v>
      </c>
    </row>
    <row r="235" spans="1:12" s="401" customFormat="1" ht="25.5" hidden="1" x14ac:dyDescent="0.2">
      <c r="A235" s="307" t="s">
        <v>793</v>
      </c>
      <c r="B235" s="324"/>
      <c r="C235" s="322"/>
      <c r="D235" s="325"/>
      <c r="E235" s="321"/>
      <c r="F235" s="321"/>
      <c r="G235" s="321"/>
      <c r="H235" s="321"/>
      <c r="I235" s="321"/>
      <c r="J235" s="321"/>
      <c r="K235" s="305">
        <f>C235+D235+E235+F235+G235+H235+I235+J235</f>
        <v>0</v>
      </c>
      <c r="L235" s="306">
        <f>D235+E235+F235+G235+H235+I235+J235</f>
        <v>0</v>
      </c>
    </row>
    <row r="236" spans="1:12" s="313" customFormat="1" ht="38.25" hidden="1" x14ac:dyDescent="0.25">
      <c r="A236" s="312" t="s">
        <v>794</v>
      </c>
      <c r="C236" s="314">
        <f>SUM(C237:C246)</f>
        <v>0</v>
      </c>
      <c r="D236" s="372">
        <f t="shared" ref="D236:J236" si="31">SUM(D237:D246)</f>
        <v>0</v>
      </c>
      <c r="E236" s="372">
        <f t="shared" si="31"/>
        <v>0</v>
      </c>
      <c r="F236" s="372">
        <f t="shared" si="31"/>
        <v>0</v>
      </c>
      <c r="G236" s="372">
        <f t="shared" si="31"/>
        <v>0</v>
      </c>
      <c r="H236" s="372">
        <f t="shared" si="31"/>
        <v>0</v>
      </c>
      <c r="I236" s="372">
        <f t="shared" si="31"/>
        <v>0</v>
      </c>
      <c r="J236" s="372">
        <f t="shared" si="31"/>
        <v>0</v>
      </c>
      <c r="K236" s="305">
        <f>C236+D236+E236+F236+G236+H236+I236+J236</f>
        <v>0</v>
      </c>
      <c r="L236" s="306">
        <f>D236+E236+F236+G236+H236+I236+J236</f>
        <v>0</v>
      </c>
    </row>
    <row r="237" spans="1:12" s="400" customFormat="1" ht="30.75" hidden="1" customHeight="1" x14ac:dyDescent="0.2">
      <c r="A237" s="307" t="s">
        <v>795</v>
      </c>
      <c r="B237" s="320"/>
      <c r="C237" s="322"/>
      <c r="D237" s="325"/>
      <c r="E237" s="321"/>
      <c r="F237" s="321"/>
      <c r="G237" s="321"/>
      <c r="H237" s="321"/>
      <c r="I237" s="321"/>
      <c r="J237" s="321"/>
      <c r="K237" s="305">
        <f>C237+D237+E237+F237+G237+H237+I237+J237</f>
        <v>0</v>
      </c>
      <c r="L237" s="306">
        <f>D237+E237+F237+G237+H237+I237+J237</f>
        <v>0</v>
      </c>
    </row>
    <row r="238" spans="1:12" s="401" customFormat="1" ht="25.5" hidden="1" x14ac:dyDescent="0.2">
      <c r="A238" s="307" t="s">
        <v>796</v>
      </c>
      <c r="B238" s="324"/>
      <c r="C238" s="322"/>
      <c r="D238" s="325"/>
      <c r="E238" s="321"/>
      <c r="F238" s="321"/>
      <c r="G238" s="321"/>
      <c r="H238" s="321"/>
      <c r="I238" s="321"/>
      <c r="J238" s="321"/>
      <c r="K238" s="305">
        <f>C238+D238+E238+F238+G238+H238+I238+J238</f>
        <v>0</v>
      </c>
      <c r="L238" s="306">
        <f>D238+E238+F238+G238+H238+I238+J238</f>
        <v>0</v>
      </c>
    </row>
    <row r="239" spans="1:12" s="401" customFormat="1" ht="38.25" hidden="1" x14ac:dyDescent="0.2">
      <c r="A239" s="307" t="s">
        <v>797</v>
      </c>
      <c r="B239" s="324"/>
      <c r="C239" s="309"/>
      <c r="D239" s="325"/>
      <c r="E239" s="321"/>
      <c r="F239" s="321"/>
      <c r="G239" s="321"/>
      <c r="H239" s="321"/>
      <c r="I239" s="321"/>
      <c r="J239" s="321"/>
      <c r="K239" s="305">
        <f>C239+D239+E239+F239+G239+H239+I239+J239</f>
        <v>0</v>
      </c>
      <c r="L239" s="306">
        <f>D239+E239+F239+G239+H239+I239+J239</f>
        <v>0</v>
      </c>
    </row>
    <row r="240" spans="1:12" s="401" customFormat="1" ht="25.5" hidden="1" x14ac:dyDescent="0.2">
      <c r="A240" s="307" t="s">
        <v>798</v>
      </c>
      <c r="B240" s="324"/>
      <c r="C240" s="322"/>
      <c r="D240" s="325"/>
      <c r="E240" s="321"/>
      <c r="F240" s="321"/>
      <c r="G240" s="321"/>
      <c r="H240" s="321"/>
      <c r="I240" s="321"/>
      <c r="J240" s="321"/>
      <c r="K240" s="305">
        <f>C240+D240+E240+F240+G240+H240+I240+J240</f>
        <v>0</v>
      </c>
      <c r="L240" s="306">
        <f>D240+E240+F240+G240+H240+I240+J240</f>
        <v>0</v>
      </c>
    </row>
    <row r="241" spans="1:12" s="401" customFormat="1" ht="25.5" hidden="1" x14ac:dyDescent="0.2">
      <c r="A241" s="307" t="s">
        <v>799</v>
      </c>
      <c r="B241" s="324"/>
      <c r="C241" s="322"/>
      <c r="D241" s="325"/>
      <c r="E241" s="321"/>
      <c r="F241" s="321"/>
      <c r="G241" s="321"/>
      <c r="H241" s="321"/>
      <c r="I241" s="321"/>
      <c r="J241" s="321"/>
      <c r="K241" s="305">
        <f>C241+D241+E241+F241+G241+H241+I241+J241</f>
        <v>0</v>
      </c>
      <c r="L241" s="306">
        <f>D241+E241+F241+G241+H241+I241+J241</f>
        <v>0</v>
      </c>
    </row>
    <row r="242" spans="1:12" s="401" customFormat="1" ht="25.5" hidden="1" x14ac:dyDescent="0.2">
      <c r="A242" s="307" t="s">
        <v>800</v>
      </c>
      <c r="B242" s="324"/>
      <c r="C242" s="322"/>
      <c r="D242" s="325"/>
      <c r="E242" s="321"/>
      <c r="F242" s="321"/>
      <c r="G242" s="321"/>
      <c r="H242" s="321"/>
      <c r="I242" s="321"/>
      <c r="J242" s="321"/>
      <c r="K242" s="305">
        <f>C242+D242+E242+F242+G242+H242+I242+J242</f>
        <v>0</v>
      </c>
      <c r="L242" s="306">
        <f>D242+E242+F242+G242+H242+I242+J242</f>
        <v>0</v>
      </c>
    </row>
    <row r="243" spans="1:12" s="400" customFormat="1" ht="25.5" hidden="1" x14ac:dyDescent="0.2">
      <c r="A243" s="307" t="s">
        <v>801</v>
      </c>
      <c r="B243" s="320"/>
      <c r="C243" s="322">
        <v>0</v>
      </c>
      <c r="D243" s="325"/>
      <c r="E243" s="321"/>
      <c r="F243" s="321"/>
      <c r="G243" s="321"/>
      <c r="H243" s="321"/>
      <c r="I243" s="321"/>
      <c r="J243" s="321"/>
      <c r="K243" s="305">
        <f>C243+D243+E243+F243+G243+H243+I243+J243</f>
        <v>0</v>
      </c>
      <c r="L243" s="306">
        <f>D243+E243+F243+G243+H243+I243+J243</f>
        <v>0</v>
      </c>
    </row>
    <row r="244" spans="1:12" s="401" customFormat="1" ht="25.5" hidden="1" x14ac:dyDescent="0.2">
      <c r="A244" s="307" t="s">
        <v>802</v>
      </c>
      <c r="B244" s="324"/>
      <c r="C244" s="322"/>
      <c r="D244" s="325"/>
      <c r="E244" s="321"/>
      <c r="F244" s="321"/>
      <c r="G244" s="321"/>
      <c r="H244" s="321"/>
      <c r="I244" s="321"/>
      <c r="J244" s="321"/>
      <c r="K244" s="305">
        <f>C244+D244+E244+F244+G244+H244+I244+J244</f>
        <v>0</v>
      </c>
      <c r="L244" s="306">
        <f>D244+E244+F244+G244+H244+I244+J244</f>
        <v>0</v>
      </c>
    </row>
    <row r="245" spans="1:12" s="401" customFormat="1" ht="25.5" hidden="1" x14ac:dyDescent="0.2">
      <c r="A245" s="307" t="s">
        <v>803</v>
      </c>
      <c r="B245" s="324"/>
      <c r="C245" s="322"/>
      <c r="D245" s="325"/>
      <c r="E245" s="321"/>
      <c r="F245" s="321"/>
      <c r="G245" s="321"/>
      <c r="H245" s="321"/>
      <c r="I245" s="321"/>
      <c r="J245" s="321"/>
      <c r="K245" s="305">
        <f>C245+D245+E245+F245+G245+H245+I245+J245</f>
        <v>0</v>
      </c>
      <c r="L245" s="306">
        <f>D245+E245+F245+G245+H245+I245+J245</f>
        <v>0</v>
      </c>
    </row>
    <row r="246" spans="1:12" s="401" customFormat="1" ht="25.5" hidden="1" x14ac:dyDescent="0.2">
      <c r="A246" s="307" t="s">
        <v>804</v>
      </c>
      <c r="B246" s="324"/>
      <c r="C246" s="309"/>
      <c r="D246" s="325"/>
      <c r="E246" s="321"/>
      <c r="F246" s="321"/>
      <c r="G246" s="321"/>
      <c r="H246" s="321"/>
      <c r="I246" s="321"/>
      <c r="J246" s="321"/>
      <c r="K246" s="305">
        <f>C246+D246+E246+F246+G246+H246+I246+J246</f>
        <v>0</v>
      </c>
      <c r="L246" s="306">
        <f>D246+E246+F246+G246+H246+I246+J246</f>
        <v>0</v>
      </c>
    </row>
    <row r="247" spans="1:12" s="405" customFormat="1" ht="51" hidden="1" x14ac:dyDescent="0.25">
      <c r="A247" s="334" t="s">
        <v>805</v>
      </c>
      <c r="B247" s="335"/>
      <c r="C247" s="373"/>
      <c r="D247" s="337"/>
      <c r="E247" s="337"/>
      <c r="F247" s="342"/>
      <c r="G247" s="342"/>
      <c r="H247" s="342"/>
      <c r="I247" s="342"/>
      <c r="J247" s="342"/>
      <c r="K247" s="305">
        <f>C247+D247+E247+F247+G247+H247+I247+J247</f>
        <v>0</v>
      </c>
      <c r="L247" s="306">
        <f>D247+E247+F247+G247+H247+I247+J247</f>
        <v>0</v>
      </c>
    </row>
    <row r="248" spans="1:12" s="418" customFormat="1" ht="51" hidden="1" x14ac:dyDescent="0.2">
      <c r="A248" s="307" t="s">
        <v>806</v>
      </c>
      <c r="B248" s="374"/>
      <c r="C248" s="302"/>
      <c r="D248" s="316"/>
      <c r="E248" s="326"/>
      <c r="F248" s="326"/>
      <c r="G248" s="326"/>
      <c r="H248" s="326"/>
      <c r="I248" s="326"/>
      <c r="J248" s="326"/>
      <c r="K248" s="305">
        <f>C248+D248+E248+F248+G248+H248+I248+J248</f>
        <v>0</v>
      </c>
      <c r="L248" s="306">
        <f>D248+E248+F248+G248+H248+I248+J248</f>
        <v>0</v>
      </c>
    </row>
    <row r="249" spans="1:12" s="313" customFormat="1" ht="51" x14ac:dyDescent="0.25">
      <c r="A249" s="312" t="s">
        <v>807</v>
      </c>
      <c r="C249" s="318">
        <f>SUM(C250:C260)</f>
        <v>0</v>
      </c>
      <c r="D249" s="346">
        <f t="shared" ref="D249:J249" si="32">SUM(D250:D260)</f>
        <v>0</v>
      </c>
      <c r="E249" s="346">
        <f t="shared" si="32"/>
        <v>0</v>
      </c>
      <c r="F249" s="346">
        <f t="shared" si="32"/>
        <v>0</v>
      </c>
      <c r="G249" s="346">
        <f t="shared" si="32"/>
        <v>0</v>
      </c>
      <c r="H249" s="346">
        <f t="shared" si="32"/>
        <v>0</v>
      </c>
      <c r="I249" s="346">
        <f t="shared" si="32"/>
        <v>0</v>
      </c>
      <c r="J249" s="346">
        <f t="shared" si="32"/>
        <v>0</v>
      </c>
      <c r="K249" s="305">
        <f>C249+D249+E249+F249+G249+H249+I249+J249</f>
        <v>0</v>
      </c>
      <c r="L249" s="306">
        <f>D249+E249+F249+G249+H249+I249+J249</f>
        <v>0</v>
      </c>
    </row>
    <row r="250" spans="1:12" s="401" customFormat="1" hidden="1" x14ac:dyDescent="0.2">
      <c r="A250" s="307" t="s">
        <v>808</v>
      </c>
      <c r="B250" s="324"/>
      <c r="C250" s="322"/>
      <c r="D250" s="325"/>
      <c r="E250" s="321"/>
      <c r="F250" s="321"/>
      <c r="G250" s="321"/>
      <c r="H250" s="321"/>
      <c r="I250" s="321"/>
      <c r="J250" s="321"/>
      <c r="K250" s="305">
        <f>C250+D250+E250+F250+G250+H250+I250+J250</f>
        <v>0</v>
      </c>
      <c r="L250" s="306">
        <f>D250+E250+F250+G250+H250+I250+J250</f>
        <v>0</v>
      </c>
    </row>
    <row r="251" spans="1:12" s="401" customFormat="1" ht="29.25" hidden="1" customHeight="1" x14ac:dyDescent="0.2">
      <c r="A251" s="307" t="s">
        <v>809</v>
      </c>
      <c r="B251" s="324"/>
      <c r="C251" s="322"/>
      <c r="D251" s="325"/>
      <c r="E251" s="321"/>
      <c r="F251" s="321"/>
      <c r="G251" s="321"/>
      <c r="H251" s="321"/>
      <c r="I251" s="321"/>
      <c r="J251" s="321"/>
      <c r="K251" s="305">
        <f>C251+D251+E251+F251+G251+H251+I251+J251</f>
        <v>0</v>
      </c>
      <c r="L251" s="306">
        <f>D251+E251+F251+G251+H251+I251+J251</f>
        <v>0</v>
      </c>
    </row>
    <row r="252" spans="1:12" s="401" customFormat="1" hidden="1" x14ac:dyDescent="0.2">
      <c r="A252" s="307" t="s">
        <v>810</v>
      </c>
      <c r="B252" s="324"/>
      <c r="C252" s="322"/>
      <c r="D252" s="325"/>
      <c r="E252" s="321"/>
      <c r="F252" s="321"/>
      <c r="G252" s="321"/>
      <c r="H252" s="321"/>
      <c r="I252" s="321"/>
      <c r="J252" s="321"/>
      <c r="K252" s="305">
        <f>C252+D252+E252+F252+G252+H252+I252+J252</f>
        <v>0</v>
      </c>
      <c r="L252" s="306">
        <f>D252+E252+F252+G252+H252+I252+J252</f>
        <v>0</v>
      </c>
    </row>
    <row r="253" spans="1:12" s="400" customFormat="1" hidden="1" x14ac:dyDescent="0.2">
      <c r="A253" s="307" t="s">
        <v>811</v>
      </c>
      <c r="B253" s="320"/>
      <c r="C253" s="322"/>
      <c r="D253" s="325"/>
      <c r="E253" s="321"/>
      <c r="F253" s="321"/>
      <c r="G253" s="321"/>
      <c r="H253" s="321"/>
      <c r="I253" s="321"/>
      <c r="J253" s="321"/>
      <c r="K253" s="305">
        <f>C253+D253+E253+F253+G253+H253+I253+J253</f>
        <v>0</v>
      </c>
      <c r="L253" s="306">
        <f>D253+E253+F253+G253+H253+I253+J253</f>
        <v>0</v>
      </c>
    </row>
    <row r="254" spans="1:12" s="401" customFormat="1" hidden="1" x14ac:dyDescent="0.2">
      <c r="A254" s="307" t="s">
        <v>812</v>
      </c>
      <c r="B254" s="324"/>
      <c r="C254" s="309"/>
      <c r="D254" s="325"/>
      <c r="E254" s="321"/>
      <c r="F254" s="321"/>
      <c r="G254" s="321"/>
      <c r="H254" s="321"/>
      <c r="I254" s="321"/>
      <c r="J254" s="321"/>
      <c r="K254" s="305">
        <f>C254+D254+E254+F254+G254+H254+I254+J254</f>
        <v>0</v>
      </c>
      <c r="L254" s="306">
        <f>D254+E254+F254+G254+H254+I254+J254</f>
        <v>0</v>
      </c>
    </row>
    <row r="255" spans="1:12" s="401" customFormat="1" ht="25.5" hidden="1" x14ac:dyDescent="0.2">
      <c r="A255" s="307" t="s">
        <v>813</v>
      </c>
      <c r="B255" s="324"/>
      <c r="C255" s="309"/>
      <c r="D255" s="325"/>
      <c r="E255" s="321"/>
      <c r="F255" s="321"/>
      <c r="G255" s="321"/>
      <c r="H255" s="321"/>
      <c r="I255" s="321"/>
      <c r="J255" s="321"/>
      <c r="K255" s="305">
        <f>C255+D255+E255+F255+G255+H255+I255+J255</f>
        <v>0</v>
      </c>
      <c r="L255" s="306">
        <f>D255+E255+F255+G255+H255+I255+J255</f>
        <v>0</v>
      </c>
    </row>
    <row r="256" spans="1:12" s="401" customFormat="1" ht="38.25" hidden="1" x14ac:dyDescent="0.2">
      <c r="A256" s="307" t="s">
        <v>814</v>
      </c>
      <c r="B256" s="324"/>
      <c r="C256" s="309"/>
      <c r="D256" s="325"/>
      <c r="E256" s="321"/>
      <c r="F256" s="321"/>
      <c r="G256" s="321"/>
      <c r="H256" s="321"/>
      <c r="I256" s="321"/>
      <c r="J256" s="321"/>
      <c r="K256" s="305">
        <f>C256+D256+E256+F256+G256+H256+I256+J256</f>
        <v>0</v>
      </c>
      <c r="L256" s="306">
        <f>D256+E256+F256+G256+H256+I256+J256</f>
        <v>0</v>
      </c>
    </row>
    <row r="257" spans="1:12" s="401" customFormat="1" hidden="1" x14ac:dyDescent="0.2">
      <c r="A257" s="307" t="s">
        <v>815</v>
      </c>
      <c r="B257" s="324"/>
      <c r="C257" s="322"/>
      <c r="D257" s="325"/>
      <c r="E257" s="321"/>
      <c r="F257" s="321"/>
      <c r="G257" s="321"/>
      <c r="H257" s="321"/>
      <c r="I257" s="321"/>
      <c r="J257" s="321"/>
      <c r="K257" s="305">
        <f>C257+D257+E257+F257+G257+H257+I257+J257</f>
        <v>0</v>
      </c>
      <c r="L257" s="306">
        <f>D257+E257+F257+G257+H257+I257+J257</f>
        <v>0</v>
      </c>
    </row>
    <row r="258" spans="1:12" s="401" customFormat="1" hidden="1" x14ac:dyDescent="0.2">
      <c r="A258" s="307" t="s">
        <v>816</v>
      </c>
      <c r="B258" s="324"/>
      <c r="C258" s="322"/>
      <c r="D258" s="325"/>
      <c r="E258" s="321"/>
      <c r="F258" s="321"/>
      <c r="G258" s="321"/>
      <c r="H258" s="321"/>
      <c r="I258" s="321"/>
      <c r="J258" s="321"/>
      <c r="K258" s="305">
        <f>C258+D258+E258+F258+G258+H258+I258+J258</f>
        <v>0</v>
      </c>
      <c r="L258" s="306">
        <f>D258+E258+F258+G258+H258+I258+J258</f>
        <v>0</v>
      </c>
    </row>
    <row r="259" spans="1:12" s="401" customFormat="1" ht="25.5" hidden="1" x14ac:dyDescent="0.2">
      <c r="A259" s="307" t="s">
        <v>817</v>
      </c>
      <c r="B259" s="324"/>
      <c r="C259" s="322"/>
      <c r="D259" s="325"/>
      <c r="E259" s="321"/>
      <c r="F259" s="321"/>
      <c r="G259" s="321"/>
      <c r="H259" s="321"/>
      <c r="I259" s="321"/>
      <c r="J259" s="321"/>
      <c r="K259" s="305">
        <f>C259+D259+E259+F259+G259+H259+I259+J259</f>
        <v>0</v>
      </c>
      <c r="L259" s="306">
        <f>D259+E259+F259+G259+H259+I259+J259</f>
        <v>0</v>
      </c>
    </row>
    <row r="260" spans="1:12" s="401" customFormat="1" hidden="1" x14ac:dyDescent="0.2">
      <c r="A260" s="307" t="s">
        <v>818</v>
      </c>
      <c r="B260" s="324"/>
      <c r="C260" s="322"/>
      <c r="D260" s="325"/>
      <c r="E260" s="321"/>
      <c r="F260" s="321"/>
      <c r="G260" s="321"/>
      <c r="H260" s="321"/>
      <c r="I260" s="321"/>
      <c r="J260" s="321"/>
      <c r="K260" s="305">
        <f>C260+D260+E260+F260+G260+H260+I260+J260</f>
        <v>0</v>
      </c>
      <c r="L260" s="306">
        <f>D260+E260+F260+G260+H260+I260+J260</f>
        <v>0</v>
      </c>
    </row>
    <row r="261" spans="1:12" s="407" customFormat="1" x14ac:dyDescent="0.2">
      <c r="A261" s="334" t="s">
        <v>819</v>
      </c>
      <c r="B261" s="335"/>
      <c r="C261" s="373">
        <v>50000</v>
      </c>
      <c r="D261" s="337"/>
      <c r="E261" s="337"/>
      <c r="F261" s="338"/>
      <c r="G261" s="338"/>
      <c r="H261" s="338"/>
      <c r="I261" s="338"/>
      <c r="J261" s="338"/>
      <c r="K261" s="305">
        <f>C261+D261+E261+F261+G261+H261+I261+J261</f>
        <v>50000</v>
      </c>
      <c r="L261" s="306">
        <f>D261+E261+F261+G261+H261+I261+J261</f>
        <v>0</v>
      </c>
    </row>
    <row r="262" spans="1:12" s="407" customFormat="1" ht="25.5" x14ac:dyDescent="0.2">
      <c r="A262" s="334" t="s">
        <v>820</v>
      </c>
      <c r="B262" s="335"/>
      <c r="C262" s="373"/>
      <c r="D262" s="375"/>
      <c r="E262" s="338"/>
      <c r="F262" s="338"/>
      <c r="G262" s="338"/>
      <c r="H262" s="338"/>
      <c r="I262" s="338"/>
      <c r="J262" s="338"/>
      <c r="K262" s="305">
        <f>C262+D262+E262+F262+G262+H262+I262+J262</f>
        <v>0</v>
      </c>
      <c r="L262" s="306">
        <f>D262+E262+F262+G262+H262+I262+J262</f>
        <v>0</v>
      </c>
    </row>
    <row r="263" spans="1:12" s="313" customFormat="1" ht="38.25" x14ac:dyDescent="0.25">
      <c r="A263" s="312" t="s">
        <v>821</v>
      </c>
      <c r="C263" s="314">
        <f>SUM(C264:C273)</f>
        <v>0</v>
      </c>
      <c r="D263" s="372">
        <f t="shared" ref="D263:J263" si="33">SUM(D264:D273)</f>
        <v>0</v>
      </c>
      <c r="E263" s="372">
        <f t="shared" si="33"/>
        <v>0</v>
      </c>
      <c r="F263" s="372">
        <f t="shared" si="33"/>
        <v>0</v>
      </c>
      <c r="G263" s="372">
        <f t="shared" si="33"/>
        <v>0</v>
      </c>
      <c r="H263" s="372">
        <f t="shared" si="33"/>
        <v>0</v>
      </c>
      <c r="I263" s="372">
        <f t="shared" si="33"/>
        <v>0</v>
      </c>
      <c r="J263" s="372">
        <f t="shared" si="33"/>
        <v>0</v>
      </c>
      <c r="K263" s="305">
        <f>C263+D263+E263+F263+G263+H263+I263+J263</f>
        <v>0</v>
      </c>
      <c r="L263" s="306">
        <f>D263+E263+F263+G263+H263+I263+J263</f>
        <v>0</v>
      </c>
    </row>
    <row r="264" spans="1:12" s="400" customFormat="1" hidden="1" x14ac:dyDescent="0.2">
      <c r="A264" s="307" t="s">
        <v>822</v>
      </c>
      <c r="B264" s="320"/>
      <c r="C264" s="322"/>
      <c r="D264" s="325"/>
      <c r="E264" s="321"/>
      <c r="F264" s="321"/>
      <c r="G264" s="321"/>
      <c r="H264" s="321"/>
      <c r="I264" s="321"/>
      <c r="J264" s="321"/>
      <c r="K264" s="305">
        <f>C264+D264+E264+F264+G264+H264+I264+J264</f>
        <v>0</v>
      </c>
      <c r="L264" s="306">
        <f>D264+E264+F264+G264+H264+I264+J264</f>
        <v>0</v>
      </c>
    </row>
    <row r="265" spans="1:12" s="400" customFormat="1" ht="27.75" hidden="1" customHeight="1" x14ac:dyDescent="0.2">
      <c r="A265" s="307" t="s">
        <v>823</v>
      </c>
      <c r="B265" s="320"/>
      <c r="C265" s="322"/>
      <c r="D265" s="325"/>
      <c r="E265" s="321"/>
      <c r="F265" s="321"/>
      <c r="G265" s="321"/>
      <c r="H265" s="321"/>
      <c r="I265" s="321"/>
      <c r="J265" s="321"/>
      <c r="K265" s="305">
        <f>C265+D265+E265+F265+G265+H265+I265+J265</f>
        <v>0</v>
      </c>
      <c r="L265" s="306">
        <f>D265+E265+F265+G265+H265+I265+J265</f>
        <v>0</v>
      </c>
    </row>
    <row r="266" spans="1:12" s="400" customFormat="1" hidden="1" x14ac:dyDescent="0.2">
      <c r="A266" s="307" t="s">
        <v>824</v>
      </c>
      <c r="B266" s="320"/>
      <c r="C266" s="322"/>
      <c r="D266" s="325"/>
      <c r="E266" s="321"/>
      <c r="F266" s="321"/>
      <c r="G266" s="321"/>
      <c r="H266" s="321"/>
      <c r="I266" s="321"/>
      <c r="J266" s="321"/>
      <c r="K266" s="305">
        <f>C266+D266+E266+F266+G266+H266+I266+J266</f>
        <v>0</v>
      </c>
      <c r="L266" s="306">
        <f>D266+E266+F266+G266+H266+I266+J266</f>
        <v>0</v>
      </c>
    </row>
    <row r="267" spans="1:12" s="400" customFormat="1" hidden="1" x14ac:dyDescent="0.2">
      <c r="A267" s="307" t="s">
        <v>825</v>
      </c>
      <c r="B267" s="320"/>
      <c r="C267" s="322"/>
      <c r="D267" s="325"/>
      <c r="E267" s="321"/>
      <c r="F267" s="321"/>
      <c r="G267" s="321"/>
      <c r="H267" s="321"/>
      <c r="I267" s="321"/>
      <c r="J267" s="321"/>
      <c r="K267" s="305">
        <f>C267+D267+E267+F267+G267+H267+I267+J267</f>
        <v>0</v>
      </c>
      <c r="L267" s="306">
        <f>D267+E267+F267+G267+H267+I267+J267</f>
        <v>0</v>
      </c>
    </row>
    <row r="268" spans="1:12" s="401" customFormat="1" hidden="1" x14ac:dyDescent="0.2">
      <c r="A268" s="307" t="s">
        <v>826</v>
      </c>
      <c r="B268" s="324"/>
      <c r="C268" s="309"/>
      <c r="D268" s="325"/>
      <c r="E268" s="321"/>
      <c r="F268" s="321"/>
      <c r="G268" s="321"/>
      <c r="H268" s="321"/>
      <c r="I268" s="321"/>
      <c r="J268" s="321"/>
      <c r="K268" s="305">
        <f>C268+D268+E268+F268+G268+H268+I268+J268</f>
        <v>0</v>
      </c>
      <c r="L268" s="306">
        <f>D268+E268+F268+G268+H268+I268+J268</f>
        <v>0</v>
      </c>
    </row>
    <row r="269" spans="1:12" s="401" customFormat="1" ht="25.5" hidden="1" x14ac:dyDescent="0.2">
      <c r="A269" s="307" t="s">
        <v>827</v>
      </c>
      <c r="B269" s="324"/>
      <c r="C269" s="309"/>
      <c r="D269" s="325"/>
      <c r="E269" s="321"/>
      <c r="F269" s="321"/>
      <c r="G269" s="321"/>
      <c r="H269" s="321"/>
      <c r="I269" s="321"/>
      <c r="J269" s="321"/>
      <c r="K269" s="305">
        <f>C269+D269+E269+F269+G269+H269+I269+J269</f>
        <v>0</v>
      </c>
      <c r="L269" s="306">
        <f>D269+E269+F269+G269+H269+I269+J269</f>
        <v>0</v>
      </c>
    </row>
    <row r="270" spans="1:12" s="401" customFormat="1" ht="38.25" hidden="1" x14ac:dyDescent="0.2">
      <c r="A270" s="307" t="s">
        <v>828</v>
      </c>
      <c r="B270" s="324"/>
      <c r="C270" s="309"/>
      <c r="D270" s="325"/>
      <c r="E270" s="321"/>
      <c r="F270" s="321"/>
      <c r="G270" s="321"/>
      <c r="H270" s="321"/>
      <c r="I270" s="321"/>
      <c r="J270" s="321"/>
      <c r="K270" s="305">
        <f>C270+D270+E270+F270+G270+H270+I270+J270</f>
        <v>0</v>
      </c>
      <c r="L270" s="306">
        <f>D270+E270+F270+G270+H270+I270+J270</f>
        <v>0</v>
      </c>
    </row>
    <row r="271" spans="1:12" s="401" customFormat="1" hidden="1" x14ac:dyDescent="0.2">
      <c r="A271" s="307" t="s">
        <v>829</v>
      </c>
      <c r="B271" s="324"/>
      <c r="C271" s="322"/>
      <c r="D271" s="325"/>
      <c r="E271" s="321"/>
      <c r="F271" s="321"/>
      <c r="G271" s="321"/>
      <c r="H271" s="321"/>
      <c r="I271" s="321"/>
      <c r="J271" s="321"/>
      <c r="K271" s="305">
        <f>C271+D271+E271+F271+G271+H271+I271+J271</f>
        <v>0</v>
      </c>
      <c r="L271" s="306">
        <f>D271+E271+F271+G271+H271+I271+J271</f>
        <v>0</v>
      </c>
    </row>
    <row r="272" spans="1:12" s="401" customFormat="1" ht="25.5" hidden="1" x14ac:dyDescent="0.2">
      <c r="A272" s="307" t="s">
        <v>830</v>
      </c>
      <c r="B272" s="324"/>
      <c r="C272" s="322"/>
      <c r="D272" s="344"/>
      <c r="E272" s="344"/>
      <c r="F272" s="321"/>
      <c r="G272" s="321"/>
      <c r="H272" s="321"/>
      <c r="I272" s="321"/>
      <c r="J272" s="321"/>
      <c r="K272" s="305">
        <f>C272+D272+E272+F272+G272+H272+I272+J272</f>
        <v>0</v>
      </c>
      <c r="L272" s="306">
        <f>D272+E272+F272+G272+H272+I272+J272</f>
        <v>0</v>
      </c>
    </row>
    <row r="273" spans="1:12" s="401" customFormat="1" hidden="1" x14ac:dyDescent="0.2">
      <c r="A273" s="307" t="s">
        <v>831</v>
      </c>
      <c r="B273" s="324"/>
      <c r="C273" s="322"/>
      <c r="D273" s="344"/>
      <c r="E273" s="344"/>
      <c r="F273" s="321"/>
      <c r="G273" s="321"/>
      <c r="H273" s="321"/>
      <c r="I273" s="321"/>
      <c r="J273" s="321"/>
      <c r="K273" s="305">
        <f>C273+D273+E273+F273+G273+H273+I273+J273</f>
        <v>0</v>
      </c>
      <c r="L273" s="306">
        <f>D273+E273+F273+G273+H273+I273+J273</f>
        <v>0</v>
      </c>
    </row>
    <row r="274" spans="1:12" s="313" customFormat="1" ht="38.25" x14ac:dyDescent="0.25">
      <c r="A274" s="312" t="s">
        <v>832</v>
      </c>
      <c r="B274" s="419" t="s">
        <v>28</v>
      </c>
      <c r="C274" s="318">
        <f>C263+C262+C261+C249+C247+C236+C225+C214+C213</f>
        <v>50000</v>
      </c>
      <c r="D274" s="346">
        <f t="shared" ref="D274:J274" si="34">D263+D262+D261+D249+D247+D236+D225+D214+D213</f>
        <v>0</v>
      </c>
      <c r="E274" s="346">
        <f t="shared" si="34"/>
        <v>0</v>
      </c>
      <c r="F274" s="346">
        <f t="shared" si="34"/>
        <v>0</v>
      </c>
      <c r="G274" s="346">
        <f t="shared" si="34"/>
        <v>0</v>
      </c>
      <c r="H274" s="346">
        <f t="shared" si="34"/>
        <v>0</v>
      </c>
      <c r="I274" s="346">
        <f t="shared" si="34"/>
        <v>0</v>
      </c>
      <c r="J274" s="346">
        <f t="shared" si="34"/>
        <v>0</v>
      </c>
      <c r="K274" s="305">
        <f>C274+D274+E274+F274+G274+H274+I274+J274</f>
        <v>50000</v>
      </c>
      <c r="L274" s="306">
        <f>D274+E274+F274+G274+H274+I274+J274</f>
        <v>0</v>
      </c>
    </row>
    <row r="275" spans="1:12" s="313" customFormat="1" ht="38.25" x14ac:dyDescent="0.25">
      <c r="A275" s="312" t="s">
        <v>833</v>
      </c>
      <c r="B275" s="313" t="s">
        <v>111</v>
      </c>
      <c r="C275" s="318">
        <f>C274+C212+C207+C198</f>
        <v>6644354</v>
      </c>
      <c r="D275" s="346">
        <f t="shared" ref="D275:J275" si="35">D274+D212+D207+D198</f>
        <v>1329756.9921259843</v>
      </c>
      <c r="E275" s="346">
        <f t="shared" si="35"/>
        <v>1169671</v>
      </c>
      <c r="F275" s="346">
        <f t="shared" si="35"/>
        <v>3611635.06</v>
      </c>
      <c r="G275" s="346">
        <f t="shared" si="35"/>
        <v>935475</v>
      </c>
      <c r="H275" s="346">
        <f t="shared" si="35"/>
        <v>532375</v>
      </c>
      <c r="I275" s="346">
        <f t="shared" si="35"/>
        <v>522758</v>
      </c>
      <c r="J275" s="346">
        <f t="shared" si="35"/>
        <v>97810</v>
      </c>
      <c r="K275" s="305">
        <f>C275+D275+E275+F275+G275+H275+I275+J275</f>
        <v>14843835.052125985</v>
      </c>
      <c r="L275" s="306">
        <f>D275+E275+F275+G275+H275+I275+J275</f>
        <v>8199481.0521259848</v>
      </c>
    </row>
    <row r="276" spans="1:12" ht="38.25" hidden="1" x14ac:dyDescent="0.2">
      <c r="A276" s="300" t="s">
        <v>834</v>
      </c>
      <c r="B276" s="301"/>
      <c r="C276" s="302"/>
      <c r="D276" s="316"/>
      <c r="E276" s="326"/>
      <c r="F276" s="326"/>
      <c r="G276" s="326"/>
      <c r="H276" s="326"/>
      <c r="I276" s="326"/>
      <c r="J276" s="326"/>
      <c r="K276" s="305">
        <f>C276+D276+E276+F276+G276+H276+I276+J276</f>
        <v>0</v>
      </c>
      <c r="L276" s="306">
        <f>D276+E276+F276+G276+H276+I276+J276</f>
        <v>0</v>
      </c>
    </row>
    <row r="277" spans="1:12" s="401" customFormat="1" ht="25.5" hidden="1" x14ac:dyDescent="0.2">
      <c r="A277" s="307" t="s">
        <v>835</v>
      </c>
      <c r="B277" s="324"/>
      <c r="C277" s="309"/>
      <c r="D277" s="325"/>
      <c r="E277" s="321"/>
      <c r="F277" s="321"/>
      <c r="G277" s="321"/>
      <c r="H277" s="321"/>
      <c r="I277" s="321"/>
      <c r="J277" s="321"/>
      <c r="K277" s="305">
        <f>C277+D277+E277+F277+G277+H277+I277+J277</f>
        <v>0</v>
      </c>
      <c r="L277" s="306">
        <f>D277+E277+F277+G277+H277+I277+J277</f>
        <v>0</v>
      </c>
    </row>
    <row r="278" spans="1:12" ht="38.25" hidden="1" x14ac:dyDescent="0.2">
      <c r="A278" s="300" t="s">
        <v>836</v>
      </c>
      <c r="B278" s="301"/>
      <c r="C278" s="376"/>
      <c r="D278" s="316"/>
      <c r="E278" s="326"/>
      <c r="F278" s="326"/>
      <c r="G278" s="326"/>
      <c r="H278" s="326"/>
      <c r="I278" s="326"/>
      <c r="J278" s="326"/>
      <c r="K278" s="305">
        <f>C278+D278+E278+F278+G278+H278+I278+J278</f>
        <v>0</v>
      </c>
      <c r="L278" s="306">
        <f>D278+E278+F278+G278+H278+I278+J278</f>
        <v>0</v>
      </c>
    </row>
    <row r="279" spans="1:12" ht="38.25" hidden="1" x14ac:dyDescent="0.2">
      <c r="A279" s="300" t="s">
        <v>837</v>
      </c>
      <c r="B279" s="301"/>
      <c r="C279" s="302"/>
      <c r="D279" s="316"/>
      <c r="E279" s="326"/>
      <c r="F279" s="326"/>
      <c r="G279" s="326"/>
      <c r="H279" s="326"/>
      <c r="I279" s="326"/>
      <c r="J279" s="326"/>
      <c r="K279" s="305">
        <f>C279+D279+E279+F279+G279+H279+I279+J279</f>
        <v>0</v>
      </c>
      <c r="L279" s="306">
        <f>D279+E279+F279+G279+H279+I279+J279</f>
        <v>0</v>
      </c>
    </row>
    <row r="280" spans="1:12" s="401" customFormat="1" ht="25.5" hidden="1" x14ac:dyDescent="0.2">
      <c r="A280" s="307" t="s">
        <v>838</v>
      </c>
      <c r="B280" s="324"/>
      <c r="C280" s="322"/>
      <c r="D280" s="344"/>
      <c r="E280" s="344"/>
      <c r="F280" s="321"/>
      <c r="G280" s="321"/>
      <c r="H280" s="321"/>
      <c r="I280" s="321"/>
      <c r="J280" s="321"/>
      <c r="K280" s="305">
        <f>C280+D280+E280+F280+G280+H280+I280+J280</f>
        <v>0</v>
      </c>
      <c r="L280" s="306">
        <f>D280+E280+F280+G280+H280+I280+J280</f>
        <v>0</v>
      </c>
    </row>
    <row r="281" spans="1:12" s="415" customFormat="1" ht="38.25" hidden="1" x14ac:dyDescent="0.2">
      <c r="A281" s="329" t="s">
        <v>839</v>
      </c>
      <c r="B281" s="330"/>
      <c r="C281" s="331">
        <f>C279+C278+C276</f>
        <v>0</v>
      </c>
      <c r="D281" s="350">
        <f t="shared" ref="D281:J281" si="36">D279+D278+D276</f>
        <v>0</v>
      </c>
      <c r="E281" s="350">
        <f t="shared" si="36"/>
        <v>0</v>
      </c>
      <c r="F281" s="350">
        <f t="shared" si="36"/>
        <v>0</v>
      </c>
      <c r="G281" s="350">
        <f t="shared" si="36"/>
        <v>0</v>
      </c>
      <c r="H281" s="350">
        <f t="shared" si="36"/>
        <v>0</v>
      </c>
      <c r="I281" s="350">
        <f t="shared" si="36"/>
        <v>0</v>
      </c>
      <c r="J281" s="350">
        <f t="shared" si="36"/>
        <v>0</v>
      </c>
      <c r="K281" s="305">
        <f>C281+D281+E281+F281+G281+H281+I281+J281</f>
        <v>0</v>
      </c>
      <c r="L281" s="306">
        <f>D281+E281+F281+G281+H281+I281+J281</f>
        <v>0</v>
      </c>
    </row>
    <row r="282" spans="1:12" s="390" customFormat="1" ht="25.5" hidden="1" x14ac:dyDescent="0.2">
      <c r="A282" s="300" t="s">
        <v>840</v>
      </c>
      <c r="B282" s="301"/>
      <c r="C282" s="302">
        <v>0</v>
      </c>
      <c r="D282" s="325">
        <v>0</v>
      </c>
      <c r="E282" s="321">
        <v>0</v>
      </c>
      <c r="F282" s="377">
        <f t="shared" ref="F282:J282" si="37">SUM(F283:F284)</f>
        <v>0</v>
      </c>
      <c r="G282" s="377">
        <f t="shared" si="37"/>
        <v>0</v>
      </c>
      <c r="H282" s="377">
        <f t="shared" si="37"/>
        <v>0</v>
      </c>
      <c r="I282" s="377">
        <f t="shared" si="37"/>
        <v>0</v>
      </c>
      <c r="J282" s="377">
        <f t="shared" si="37"/>
        <v>0</v>
      </c>
      <c r="K282" s="305">
        <f>C282+D282+E282+F282+G282+H282+I282+J282</f>
        <v>0</v>
      </c>
      <c r="L282" s="306">
        <f>D282+E282+F282+G282+H282+I282+J282</f>
        <v>0</v>
      </c>
    </row>
    <row r="283" spans="1:12" s="412" customFormat="1" hidden="1" x14ac:dyDescent="0.2">
      <c r="A283" s="307" t="s">
        <v>841</v>
      </c>
      <c r="B283" s="324"/>
      <c r="C283" s="322"/>
      <c r="D283" s="377"/>
      <c r="E283" s="321"/>
      <c r="F283" s="321"/>
      <c r="G283" s="321"/>
      <c r="H283" s="321"/>
      <c r="I283" s="321"/>
      <c r="J283" s="321"/>
      <c r="K283" s="305">
        <f>C283+D283+E283+F283+G283+H283+I283+J283</f>
        <v>0</v>
      </c>
      <c r="L283" s="306">
        <f>D283+E283+F283+G283+H283+I283+J283</f>
        <v>0</v>
      </c>
    </row>
    <row r="284" spans="1:12" s="401" customFormat="1" hidden="1" x14ac:dyDescent="0.2">
      <c r="A284" s="307" t="s">
        <v>842</v>
      </c>
      <c r="B284" s="324"/>
      <c r="C284" s="322"/>
      <c r="D284" s="377"/>
      <c r="E284" s="321"/>
      <c r="F284" s="321"/>
      <c r="G284" s="321"/>
      <c r="H284" s="321"/>
      <c r="I284" s="321"/>
      <c r="J284" s="321"/>
      <c r="K284" s="305">
        <f>C284+D284+E284+F284+G284+H284+I284+J284</f>
        <v>0</v>
      </c>
      <c r="L284" s="306">
        <f>D284+E284+F284+G284+H284+I284+J284</f>
        <v>0</v>
      </c>
    </row>
    <row r="285" spans="1:12" ht="25.5" hidden="1" x14ac:dyDescent="0.2">
      <c r="A285" s="300" t="s">
        <v>843</v>
      </c>
      <c r="B285" s="301"/>
      <c r="C285" s="302"/>
      <c r="D285" s="325"/>
      <c r="E285" s="317"/>
      <c r="F285" s="326"/>
      <c r="G285" s="326"/>
      <c r="H285" s="326"/>
      <c r="I285" s="326"/>
      <c r="J285" s="326"/>
      <c r="K285" s="305">
        <f>C285+D285+E285+F285+G285+H285+I285+J285</f>
        <v>0</v>
      </c>
      <c r="L285" s="306">
        <f>D285+E285+F285+G285+H285+I285+J285</f>
        <v>0</v>
      </c>
    </row>
    <row r="286" spans="1:12" hidden="1" x14ac:dyDescent="0.2">
      <c r="A286" s="300" t="s">
        <v>844</v>
      </c>
      <c r="B286" s="301"/>
      <c r="C286" s="302"/>
      <c r="D286" s="325"/>
      <c r="E286" s="326"/>
      <c r="F286" s="326"/>
      <c r="G286" s="326"/>
      <c r="H286" s="326"/>
      <c r="I286" s="326"/>
      <c r="J286" s="326"/>
      <c r="K286" s="305">
        <f>C286+D286+E286+F286+G286+H286+I286+J286</f>
        <v>0</v>
      </c>
      <c r="L286" s="306">
        <f>D286+E286+F286+G286+H286+I286+J286</f>
        <v>0</v>
      </c>
    </row>
    <row r="287" spans="1:12" s="415" customFormat="1" ht="25.5" hidden="1" x14ac:dyDescent="0.2">
      <c r="A287" s="329" t="s">
        <v>845</v>
      </c>
      <c r="B287" s="330"/>
      <c r="C287" s="353">
        <v>0</v>
      </c>
      <c r="D287" s="378">
        <v>0</v>
      </c>
      <c r="E287" s="379">
        <v>0</v>
      </c>
      <c r="F287" s="380">
        <f t="shared" ref="F287:J287" si="38">SUM(F288:F290)</f>
        <v>0</v>
      </c>
      <c r="G287" s="380">
        <f t="shared" si="38"/>
        <v>0</v>
      </c>
      <c r="H287" s="380">
        <f t="shared" si="38"/>
        <v>0</v>
      </c>
      <c r="I287" s="380">
        <f t="shared" si="38"/>
        <v>0</v>
      </c>
      <c r="J287" s="380">
        <f t="shared" si="38"/>
        <v>0</v>
      </c>
      <c r="K287" s="305">
        <f>C287+D287+E287+F287+G287+H287+I287+J287</f>
        <v>0</v>
      </c>
      <c r="L287" s="306">
        <f>D287+E287+F287+G287+H287+I287+J287</f>
        <v>0</v>
      </c>
    </row>
    <row r="288" spans="1:12" s="401" customFormat="1" ht="25.5" hidden="1" x14ac:dyDescent="0.2">
      <c r="A288" s="307" t="s">
        <v>846</v>
      </c>
      <c r="B288" s="324"/>
      <c r="C288" s="322"/>
      <c r="D288" s="325"/>
      <c r="E288" s="321"/>
      <c r="F288" s="321"/>
      <c r="G288" s="321"/>
      <c r="H288" s="321"/>
      <c r="I288" s="321"/>
      <c r="J288" s="321"/>
      <c r="K288" s="305">
        <f>C288+D288+E288+F288+G288+H288+I288+J288</f>
        <v>0</v>
      </c>
      <c r="L288" s="306">
        <f>D288+E288+F288+G288+H288+I288+J288</f>
        <v>0</v>
      </c>
    </row>
    <row r="289" spans="1:12" s="401" customFormat="1" hidden="1" x14ac:dyDescent="0.2">
      <c r="A289" s="307" t="s">
        <v>847</v>
      </c>
      <c r="B289" s="324"/>
      <c r="C289" s="322"/>
      <c r="D289" s="325"/>
      <c r="E289" s="321"/>
      <c r="F289" s="321"/>
      <c r="G289" s="321"/>
      <c r="H289" s="321"/>
      <c r="I289" s="321"/>
      <c r="J289" s="321"/>
      <c r="K289" s="305">
        <f>C289+D289+E289+F289+G289+H289+I289+J289</f>
        <v>0</v>
      </c>
      <c r="L289" s="306">
        <f>D289+E289+F289+G289+H289+I289+J289</f>
        <v>0</v>
      </c>
    </row>
    <row r="290" spans="1:12" s="401" customFormat="1" hidden="1" x14ac:dyDescent="0.2">
      <c r="A290" s="307" t="s">
        <v>848</v>
      </c>
      <c r="B290" s="324"/>
      <c r="C290" s="309"/>
      <c r="D290" s="325"/>
      <c r="E290" s="321"/>
      <c r="F290" s="321"/>
      <c r="G290" s="321"/>
      <c r="H290" s="321"/>
      <c r="I290" s="321"/>
      <c r="J290" s="321"/>
      <c r="K290" s="305">
        <f>C290+D290+E290+F290+G290+H290+I290+J290</f>
        <v>0</v>
      </c>
      <c r="L290" s="306">
        <f>D290+E290+F290+G290+H290+I290+J290</f>
        <v>0</v>
      </c>
    </row>
    <row r="291" spans="1:12" hidden="1" x14ac:dyDescent="0.2">
      <c r="A291" s="300" t="s">
        <v>849</v>
      </c>
      <c r="B291" s="301"/>
      <c r="C291" s="302"/>
      <c r="D291" s="316"/>
      <c r="E291" s="326"/>
      <c r="F291" s="326"/>
      <c r="G291" s="326"/>
      <c r="H291" s="326"/>
      <c r="I291" s="326"/>
      <c r="J291" s="326"/>
      <c r="K291" s="305">
        <f>C291+D291+E291+F291+G291+H291+I291+J291</f>
        <v>0</v>
      </c>
      <c r="L291" s="306">
        <f>D291+E291+F291+G291+H291+I291+J291</f>
        <v>0</v>
      </c>
    </row>
    <row r="292" spans="1:12" ht="25.5" hidden="1" x14ac:dyDescent="0.2">
      <c r="A292" s="300" t="s">
        <v>850</v>
      </c>
      <c r="B292" s="301"/>
      <c r="C292" s="302"/>
      <c r="D292" s="317"/>
      <c r="E292" s="317"/>
      <c r="F292" s="326"/>
      <c r="G292" s="326"/>
      <c r="H292" s="326"/>
      <c r="I292" s="326"/>
      <c r="J292" s="326"/>
      <c r="K292" s="305">
        <f>C292+D292+E292+F292+G292+H292+I292+J292</f>
        <v>0</v>
      </c>
      <c r="L292" s="306">
        <f>D292+E292+F292+G292+H292+I292+J292</f>
        <v>0</v>
      </c>
    </row>
    <row r="293" spans="1:12" s="401" customFormat="1" ht="25.5" hidden="1" x14ac:dyDescent="0.2">
      <c r="A293" s="307" t="s">
        <v>851</v>
      </c>
      <c r="B293" s="324"/>
      <c r="C293" s="322"/>
      <c r="D293" s="325"/>
      <c r="E293" s="321"/>
      <c r="F293" s="321"/>
      <c r="G293" s="321"/>
      <c r="H293" s="321"/>
      <c r="I293" s="321"/>
      <c r="J293" s="321"/>
      <c r="K293" s="305">
        <f>C293+D293+E293+F293+G293+H293+I293+J293</f>
        <v>0</v>
      </c>
      <c r="L293" s="306">
        <f>D293+E293+F293+G293+H293+I293+J293</f>
        <v>0</v>
      </c>
    </row>
    <row r="294" spans="1:12" s="415" customFormat="1" ht="25.5" x14ac:dyDescent="0.2">
      <c r="A294" s="329" t="s">
        <v>852</v>
      </c>
      <c r="B294" s="330"/>
      <c r="C294" s="331">
        <f>C292+C291+C287+C286+C285+C282</f>
        <v>0</v>
      </c>
      <c r="D294" s="350">
        <f t="shared" ref="D294:J294" si="39">D292+D291+D287+D286+D285+D282</f>
        <v>0</v>
      </c>
      <c r="E294" s="350">
        <f t="shared" si="39"/>
        <v>0</v>
      </c>
      <c r="F294" s="350">
        <f t="shared" si="39"/>
        <v>0</v>
      </c>
      <c r="G294" s="350">
        <f t="shared" si="39"/>
        <v>0</v>
      </c>
      <c r="H294" s="350">
        <f t="shared" si="39"/>
        <v>0</v>
      </c>
      <c r="I294" s="350">
        <f t="shared" si="39"/>
        <v>0</v>
      </c>
      <c r="J294" s="350">
        <f t="shared" si="39"/>
        <v>0</v>
      </c>
      <c r="K294" s="305">
        <f>C294+D294+E294+F294+G294+H294+I294+J294</f>
        <v>0</v>
      </c>
      <c r="L294" s="306">
        <f>D294+E294+F294+G294+H294+I294+J294</f>
        <v>0</v>
      </c>
    </row>
    <row r="295" spans="1:12" ht="25.5" x14ac:dyDescent="0.2">
      <c r="A295" s="300" t="s">
        <v>853</v>
      </c>
      <c r="B295" s="301"/>
      <c r="C295" s="302"/>
      <c r="D295" s="316"/>
      <c r="E295" s="326"/>
      <c r="F295" s="326"/>
      <c r="G295" s="326"/>
      <c r="H295" s="326"/>
      <c r="I295" s="326"/>
      <c r="J295" s="326"/>
      <c r="K295" s="305">
        <f>C295+D295+E295+F295+G295+H295+I295+J295</f>
        <v>0</v>
      </c>
      <c r="L295" s="306">
        <f>D295+E295+F295+G295+H295+I295+J295</f>
        <v>0</v>
      </c>
    </row>
    <row r="296" spans="1:12" ht="25.5" x14ac:dyDescent="0.2">
      <c r="A296" s="300" t="s">
        <v>854</v>
      </c>
      <c r="B296" s="301"/>
      <c r="C296" s="302">
        <v>46000</v>
      </c>
      <c r="D296" s="316"/>
      <c r="E296" s="326"/>
      <c r="F296" s="326"/>
      <c r="G296" s="326"/>
      <c r="H296" s="326"/>
      <c r="I296" s="326"/>
      <c r="J296" s="326"/>
      <c r="K296" s="305">
        <f>C296+D296+E296+F296+G296+H296+I296+J296</f>
        <v>46000</v>
      </c>
      <c r="L296" s="306">
        <f>D296+E296+F296+G296+H296+I296+J296</f>
        <v>0</v>
      </c>
    </row>
    <row r="297" spans="1:12" s="390" customFormat="1" ht="25.5" x14ac:dyDescent="0.2">
      <c r="A297" s="381" t="s">
        <v>855</v>
      </c>
      <c r="B297" s="301"/>
      <c r="C297" s="382">
        <f>+'1. melléklet'!D19</f>
        <v>4466700.0521259848</v>
      </c>
      <c r="D297" s="377"/>
      <c r="E297" s="383"/>
      <c r="F297" s="383"/>
      <c r="G297" s="383"/>
      <c r="H297" s="383"/>
      <c r="I297" s="383"/>
      <c r="J297" s="383"/>
      <c r="K297" s="305">
        <f>C297+D297+E297+F297+G297+H297+I297+J297</f>
        <v>4466700.0521259848</v>
      </c>
      <c r="L297" s="306">
        <f>D297+E297+F297+G297+H297+I297+J297</f>
        <v>0</v>
      </c>
    </row>
    <row r="298" spans="1:12" ht="25.5" x14ac:dyDescent="0.2">
      <c r="A298" s="300" t="s">
        <v>856</v>
      </c>
      <c r="B298" s="301"/>
      <c r="C298" s="302"/>
      <c r="D298" s="316"/>
      <c r="E298" s="326"/>
      <c r="F298" s="326"/>
      <c r="G298" s="326"/>
      <c r="H298" s="326"/>
      <c r="I298" s="326"/>
      <c r="J298" s="326"/>
      <c r="K298" s="305">
        <f>C298+D298+E298+F298+G298+H298+I298+J298</f>
        <v>0</v>
      </c>
      <c r="L298" s="306">
        <f>D298+E298+F298+G298+H298+I298+J298</f>
        <v>0</v>
      </c>
    </row>
    <row r="299" spans="1:12" hidden="1" x14ac:dyDescent="0.2">
      <c r="A299" s="300" t="s">
        <v>857</v>
      </c>
      <c r="B299" s="301"/>
      <c r="C299" s="376"/>
      <c r="D299" s="316"/>
      <c r="E299" s="326"/>
      <c r="F299" s="326"/>
      <c r="G299" s="326"/>
      <c r="H299" s="326"/>
      <c r="I299" s="326"/>
      <c r="J299" s="326"/>
      <c r="K299" s="305">
        <f>C299+D299+E299+F299+G299+H299+I299+J299</f>
        <v>0</v>
      </c>
      <c r="L299" s="306">
        <f>D299+E299+F299+G299+H299+I299+J299</f>
        <v>0</v>
      </c>
    </row>
    <row r="300" spans="1:12" ht="25.5" hidden="1" x14ac:dyDescent="0.2">
      <c r="A300" s="300" t="s">
        <v>858</v>
      </c>
      <c r="B300" s="301"/>
      <c r="C300" s="376"/>
      <c r="D300" s="316"/>
      <c r="E300" s="326"/>
      <c r="F300" s="326"/>
      <c r="G300" s="326"/>
      <c r="H300" s="326"/>
      <c r="I300" s="326"/>
      <c r="J300" s="326"/>
      <c r="K300" s="305">
        <f>C300+D300+E300+F300+G300+H300+I300+J300</f>
        <v>0</v>
      </c>
      <c r="L300" s="306">
        <f>D300+E300+F300+G300+H300+I300+J300</f>
        <v>0</v>
      </c>
    </row>
    <row r="301" spans="1:12" s="398" customFormat="1" ht="25.5" hidden="1" x14ac:dyDescent="0.2">
      <c r="A301" s="300" t="s">
        <v>859</v>
      </c>
      <c r="B301" s="308"/>
      <c r="C301" s="322"/>
      <c r="D301" s="310"/>
      <c r="E301" s="310"/>
      <c r="F301" s="321"/>
      <c r="G301" s="321"/>
      <c r="H301" s="321"/>
      <c r="I301" s="321"/>
      <c r="J301" s="321"/>
      <c r="K301" s="305">
        <f>C301+D301+E301+F301+G301+H301+I301+J301</f>
        <v>0</v>
      </c>
      <c r="L301" s="306">
        <f>D301+E301+F301+G301+H301+I301+J301</f>
        <v>0</v>
      </c>
    </row>
    <row r="302" spans="1:12" s="398" customFormat="1" ht="25.5" hidden="1" x14ac:dyDescent="0.2">
      <c r="A302" s="300" t="s">
        <v>860</v>
      </c>
      <c r="B302" s="308"/>
      <c r="C302" s="322"/>
      <c r="D302" s="310"/>
      <c r="E302" s="310"/>
      <c r="F302" s="321"/>
      <c r="G302" s="321"/>
      <c r="H302" s="321"/>
      <c r="I302" s="321"/>
      <c r="J302" s="321"/>
      <c r="K302" s="305">
        <f>C302+D302+E302+F302+G302+H302+I302+J302</f>
        <v>0</v>
      </c>
      <c r="L302" s="306">
        <f>D302+E302+F302+G302+H302+I302+J302</f>
        <v>0</v>
      </c>
    </row>
    <row r="303" spans="1:12" s="415" customFormat="1" ht="25.5" hidden="1" x14ac:dyDescent="0.2">
      <c r="A303" s="329" t="s">
        <v>861</v>
      </c>
      <c r="B303" s="330"/>
      <c r="C303" s="331">
        <f>SUM(C301:C302)</f>
        <v>0</v>
      </c>
      <c r="D303" s="350">
        <f t="shared" ref="D303:J303" si="40">SUM(D301:D302)</f>
        <v>0</v>
      </c>
      <c r="E303" s="350">
        <f t="shared" si="40"/>
        <v>0</v>
      </c>
      <c r="F303" s="350">
        <f t="shared" si="40"/>
        <v>0</v>
      </c>
      <c r="G303" s="350">
        <f t="shared" si="40"/>
        <v>0</v>
      </c>
      <c r="H303" s="350">
        <f t="shared" si="40"/>
        <v>0</v>
      </c>
      <c r="I303" s="350">
        <f t="shared" si="40"/>
        <v>0</v>
      </c>
      <c r="J303" s="350">
        <f t="shared" si="40"/>
        <v>0</v>
      </c>
      <c r="K303" s="305">
        <f>C303+D303+E303+F303+G303+H303+I303+J303</f>
        <v>0</v>
      </c>
      <c r="L303" s="306">
        <f>D303+E303+F303+G303+H303+I303+J303</f>
        <v>0</v>
      </c>
    </row>
    <row r="304" spans="1:12" s="420" customFormat="1" ht="25.5" x14ac:dyDescent="0.2">
      <c r="A304" s="312" t="s">
        <v>862</v>
      </c>
      <c r="B304" s="313"/>
      <c r="C304" s="318">
        <f>C303+C300+C299+C298+C297+C296+C295+C294+C281</f>
        <v>4512700.0521259848</v>
      </c>
      <c r="D304" s="346">
        <f t="shared" ref="D304:J304" si="41">D303+D300+D299+D298+D297+D296+D295+D294+D281</f>
        <v>0</v>
      </c>
      <c r="E304" s="346">
        <f t="shared" si="41"/>
        <v>0</v>
      </c>
      <c r="F304" s="346">
        <f t="shared" si="41"/>
        <v>0</v>
      </c>
      <c r="G304" s="346">
        <f t="shared" si="41"/>
        <v>0</v>
      </c>
      <c r="H304" s="346">
        <f t="shared" si="41"/>
        <v>0</v>
      </c>
      <c r="I304" s="346">
        <f t="shared" si="41"/>
        <v>0</v>
      </c>
      <c r="J304" s="346">
        <f t="shared" si="41"/>
        <v>0</v>
      </c>
      <c r="K304" s="305">
        <f>C304+D304+E304+F304+G304+H304+I304+J304</f>
        <v>4512700.0521259848</v>
      </c>
      <c r="L304" s="306">
        <f>D304+E304+F304+G304+H304+I304+J304</f>
        <v>0</v>
      </c>
    </row>
    <row r="305" spans="1:12" ht="25.5" hidden="1" x14ac:dyDescent="0.2">
      <c r="A305" s="300" t="s">
        <v>863</v>
      </c>
      <c r="B305" s="301"/>
      <c r="C305" s="302"/>
      <c r="D305" s="316"/>
      <c r="E305" s="326"/>
      <c r="F305" s="326"/>
      <c r="G305" s="326"/>
      <c r="H305" s="326"/>
      <c r="I305" s="326"/>
      <c r="J305" s="326"/>
      <c r="K305" s="305">
        <f>C305+D305+E305+F305+G305+H305+I305+J305</f>
        <v>0</v>
      </c>
      <c r="L305" s="306">
        <f>D305+E305+F305+G305+H305+I305+J305</f>
        <v>0</v>
      </c>
    </row>
    <row r="306" spans="1:12" ht="25.5" hidden="1" x14ac:dyDescent="0.2">
      <c r="A306" s="300" t="s">
        <v>864</v>
      </c>
      <c r="B306" s="301"/>
      <c r="C306" s="376"/>
      <c r="D306" s="316"/>
      <c r="E306" s="326"/>
      <c r="F306" s="326"/>
      <c r="G306" s="326"/>
      <c r="H306" s="326"/>
      <c r="I306" s="326"/>
      <c r="J306" s="326"/>
      <c r="K306" s="305">
        <f>C306+D306+E306+F306+G306+H306+I306+J306</f>
        <v>0</v>
      </c>
      <c r="L306" s="306">
        <f>D306+E306+F306+G306+H306+I306+J306</f>
        <v>0</v>
      </c>
    </row>
    <row r="307" spans="1:12" ht="29.25" hidden="1" customHeight="1" x14ac:dyDescent="0.2">
      <c r="A307" s="300" t="s">
        <v>865</v>
      </c>
      <c r="B307" s="301"/>
      <c r="C307" s="376"/>
      <c r="D307" s="316"/>
      <c r="E307" s="326"/>
      <c r="F307" s="326"/>
      <c r="G307" s="326"/>
      <c r="H307" s="326"/>
      <c r="I307" s="326"/>
      <c r="J307" s="326"/>
      <c r="K307" s="305">
        <f>C307+D307+E307+F307+G307+H307+I307+J307</f>
        <v>0</v>
      </c>
      <c r="L307" s="306">
        <f>D307+E307+F307+G307+H307+I307+J307</f>
        <v>0</v>
      </c>
    </row>
    <row r="308" spans="1:12" s="401" customFormat="1" ht="25.5" hidden="1" x14ac:dyDescent="0.2">
      <c r="A308" s="307" t="s">
        <v>866</v>
      </c>
      <c r="B308" s="324"/>
      <c r="C308" s="322"/>
      <c r="D308" s="325"/>
      <c r="E308" s="321"/>
      <c r="F308" s="321"/>
      <c r="G308" s="321"/>
      <c r="H308" s="321"/>
      <c r="I308" s="321"/>
      <c r="J308" s="321"/>
      <c r="K308" s="305">
        <f>C308+D308+E308+F308+G308+H308+I308+J308</f>
        <v>0</v>
      </c>
      <c r="L308" s="306">
        <f>D308+E308+F308+G308+H308+I308+J308</f>
        <v>0</v>
      </c>
    </row>
    <row r="309" spans="1:12" ht="38.25" hidden="1" x14ac:dyDescent="0.2">
      <c r="A309" s="300" t="s">
        <v>867</v>
      </c>
      <c r="B309" s="301"/>
      <c r="C309" s="302"/>
      <c r="D309" s="316"/>
      <c r="E309" s="326"/>
      <c r="F309" s="326"/>
      <c r="G309" s="326"/>
      <c r="H309" s="326"/>
      <c r="I309" s="326"/>
      <c r="J309" s="326"/>
      <c r="K309" s="305">
        <f>C309+D309+E309+F309+G309+H309+I309+J309</f>
        <v>0</v>
      </c>
      <c r="L309" s="306">
        <f>D309+E309+F309+G309+H309+I309+J309</f>
        <v>0</v>
      </c>
    </row>
    <row r="310" spans="1:12" ht="25.5" hidden="1" x14ac:dyDescent="0.2">
      <c r="A310" s="300" t="s">
        <v>868</v>
      </c>
      <c r="B310" s="301"/>
      <c r="C310" s="302"/>
      <c r="D310" s="317"/>
      <c r="E310" s="317"/>
      <c r="F310" s="326"/>
      <c r="G310" s="326"/>
      <c r="H310" s="326"/>
      <c r="I310" s="326"/>
      <c r="J310" s="326"/>
      <c r="K310" s="305">
        <f>C310+D310+E310+F310+G310+H310+I310+J310</f>
        <v>0</v>
      </c>
      <c r="L310" s="306">
        <f>D310+E310+F310+G310+H310+I310+J310</f>
        <v>0</v>
      </c>
    </row>
    <row r="311" spans="1:12" s="401" customFormat="1" ht="25.5" hidden="1" x14ac:dyDescent="0.2">
      <c r="A311" s="307" t="s">
        <v>869</v>
      </c>
      <c r="B311" s="324"/>
      <c r="C311" s="322"/>
      <c r="D311" s="344"/>
      <c r="E311" s="321"/>
      <c r="F311" s="321"/>
      <c r="G311" s="321"/>
      <c r="H311" s="321"/>
      <c r="I311" s="321"/>
      <c r="J311" s="321"/>
      <c r="K311" s="305">
        <f>C311+D311+E311+F311+G311+H311+I311+J311</f>
        <v>0</v>
      </c>
      <c r="L311" s="306">
        <f>D311+E311+F311+G311+H311+I311+J311</f>
        <v>0</v>
      </c>
    </row>
    <row r="312" spans="1:12" s="313" customFormat="1" ht="25.5" hidden="1" x14ac:dyDescent="0.25">
      <c r="A312" s="312" t="s">
        <v>870</v>
      </c>
      <c r="C312" s="384">
        <f>C310+C309+C307+C306+C305</f>
        <v>0</v>
      </c>
      <c r="D312" s="385">
        <f t="shared" ref="D312:J312" si="42">D310+D309+D307+D306+D305</f>
        <v>0</v>
      </c>
      <c r="E312" s="385">
        <f t="shared" si="42"/>
        <v>0</v>
      </c>
      <c r="F312" s="385">
        <f t="shared" si="42"/>
        <v>0</v>
      </c>
      <c r="G312" s="385">
        <f t="shared" si="42"/>
        <v>0</v>
      </c>
      <c r="H312" s="385">
        <f t="shared" si="42"/>
        <v>0</v>
      </c>
      <c r="I312" s="385">
        <f t="shared" si="42"/>
        <v>0</v>
      </c>
      <c r="J312" s="385">
        <f t="shared" si="42"/>
        <v>0</v>
      </c>
      <c r="K312" s="305">
        <f>C312+D312+E312+F312+G312+H312+I312+J312</f>
        <v>0</v>
      </c>
      <c r="L312" s="306">
        <f>D312+E312+F312+G312+H312+I312+J312</f>
        <v>0</v>
      </c>
    </row>
    <row r="313" spans="1:12" s="405" customFormat="1" ht="25.5" hidden="1" x14ac:dyDescent="0.25">
      <c r="A313" s="334" t="s">
        <v>871</v>
      </c>
      <c r="B313" s="335"/>
      <c r="C313" s="373"/>
      <c r="D313" s="386"/>
      <c r="E313" s="337"/>
      <c r="F313" s="338"/>
      <c r="G313" s="338"/>
      <c r="H313" s="338"/>
      <c r="I313" s="338"/>
      <c r="J313" s="338"/>
      <c r="K313" s="305">
        <f>C313+D313+E313+F313+G313+H313+I313+J313</f>
        <v>0</v>
      </c>
      <c r="L313" s="306">
        <f>D313+E313+F313+G313+H313+I313+J313</f>
        <v>0</v>
      </c>
    </row>
    <row r="314" spans="1:12" s="405" customFormat="1" hidden="1" x14ac:dyDescent="0.25">
      <c r="A314" s="334" t="s">
        <v>872</v>
      </c>
      <c r="B314" s="335"/>
      <c r="C314" s="387"/>
      <c r="D314" s="388"/>
      <c r="E314" s="337"/>
      <c r="F314" s="338"/>
      <c r="G314" s="338"/>
      <c r="H314" s="338"/>
      <c r="I314" s="338"/>
      <c r="J314" s="338"/>
      <c r="K314" s="305">
        <f>C314+D314+E314+F314+G314+H314+I314+J314</f>
        <v>0</v>
      </c>
      <c r="L314" s="306">
        <f>D314+E314+F314+G314+H314+I314+J314</f>
        <v>0</v>
      </c>
    </row>
    <row r="315" spans="1:12" s="313" customFormat="1" ht="25.5" x14ac:dyDescent="0.25">
      <c r="A315" s="312" t="s">
        <v>873</v>
      </c>
      <c r="B315" s="313" t="s">
        <v>29</v>
      </c>
      <c r="C315" s="384">
        <f>C312+C304</f>
        <v>4512700.0521259848</v>
      </c>
      <c r="D315" s="385">
        <f t="shared" ref="D315:J315" si="43">D312+D304</f>
        <v>0</v>
      </c>
      <c r="E315" s="385">
        <f t="shared" si="43"/>
        <v>0</v>
      </c>
      <c r="F315" s="385">
        <f t="shared" si="43"/>
        <v>0</v>
      </c>
      <c r="G315" s="385">
        <f t="shared" si="43"/>
        <v>0</v>
      </c>
      <c r="H315" s="385">
        <f t="shared" si="43"/>
        <v>0</v>
      </c>
      <c r="I315" s="385">
        <f t="shared" si="43"/>
        <v>0</v>
      </c>
      <c r="J315" s="385">
        <f t="shared" si="43"/>
        <v>0</v>
      </c>
      <c r="K315" s="305">
        <f>C315+D315+E315+F315+G315+H315+I315+J315</f>
        <v>4512700.0521259848</v>
      </c>
      <c r="L315" s="306">
        <f>D315+E315+F315+G315+H315+I315+J315</f>
        <v>0</v>
      </c>
    </row>
    <row r="316" spans="1:12" s="313" customFormat="1" ht="21.75" customHeight="1" thickBot="1" x14ac:dyDescent="0.3">
      <c r="A316" s="421" t="s">
        <v>33</v>
      </c>
      <c r="B316" s="422"/>
      <c r="C316" s="423">
        <f>C315+C275</f>
        <v>11157054.052125985</v>
      </c>
      <c r="D316" s="424">
        <f t="shared" ref="D316:J316" si="44">D315+D275</f>
        <v>1329756.9921259843</v>
      </c>
      <c r="E316" s="424">
        <f t="shared" si="44"/>
        <v>1169671</v>
      </c>
      <c r="F316" s="424">
        <f t="shared" si="44"/>
        <v>3611635.06</v>
      </c>
      <c r="G316" s="424">
        <f t="shared" si="44"/>
        <v>935475</v>
      </c>
      <c r="H316" s="424">
        <f t="shared" si="44"/>
        <v>532375</v>
      </c>
      <c r="I316" s="424">
        <f t="shared" si="44"/>
        <v>522758</v>
      </c>
      <c r="J316" s="424">
        <f t="shared" si="44"/>
        <v>97810</v>
      </c>
      <c r="K316" s="305">
        <f>C316+D316+E316+F316+G316+H316+I316+J316</f>
        <v>19356535.10425197</v>
      </c>
      <c r="L316" s="306">
        <f>D316+E316+F316+G316+H316+I316+J316</f>
        <v>8199481.0521259848</v>
      </c>
    </row>
    <row r="317" spans="1:12" s="313" customFormat="1" ht="21.75" hidden="1" customHeight="1" x14ac:dyDescent="0.25">
      <c r="A317" s="425"/>
      <c r="B317" s="426"/>
      <c r="C317" s="427"/>
      <c r="D317" s="428"/>
      <c r="E317" s="428"/>
      <c r="F317" s="428"/>
      <c r="G317" s="428"/>
      <c r="H317" s="428"/>
      <c r="I317" s="428"/>
      <c r="J317" s="428"/>
      <c r="K317" s="429"/>
      <c r="L317" s="430"/>
    </row>
    <row r="318" spans="1:12" x14ac:dyDescent="0.2">
      <c r="K318" s="433">
        <f>C318+D318+E318+F318+G318+H318+I318+J318</f>
        <v>0</v>
      </c>
      <c r="L318" s="434">
        <f>D318+E318+F318+G318+H318+I318+J318+K318</f>
        <v>0</v>
      </c>
    </row>
    <row r="319" spans="1:12" x14ac:dyDescent="0.2">
      <c r="C319" s="391">
        <f>'2. melléklet'!C317-'3. melléklet'!C316</f>
        <v>-0.2011259850114584</v>
      </c>
      <c r="D319" s="392">
        <f>'2. melléklet'!D317-'3. melléklet'!D316</f>
        <v>0</v>
      </c>
      <c r="E319" s="392">
        <f>'2. melléklet'!E317-'3. melléklet'!E316</f>
        <v>0</v>
      </c>
      <c r="F319" s="392">
        <f>'2. melléklet'!F317-'3. melléklet'!F316</f>
        <v>0</v>
      </c>
      <c r="G319" s="392">
        <f>'2. melléklet'!G317-'3. melléklet'!G316</f>
        <v>0</v>
      </c>
      <c r="H319" s="392">
        <f>'2. melléklet'!H317-'3. melléklet'!H316</f>
        <v>0</v>
      </c>
      <c r="I319" s="392">
        <f>'2. melléklet'!I317-'3. melléklet'!I316</f>
        <v>0</v>
      </c>
      <c r="J319" s="392">
        <f>'2. melléklet'!J317-'3. melléklet'!J316</f>
        <v>0</v>
      </c>
      <c r="K319" s="393">
        <f>C319+D319+E319+F319+G319+H319+I319+J319</f>
        <v>-0.2011259850114584</v>
      </c>
      <c r="L319" s="394">
        <f>D319+E319+F319+G319+H319+I319+J319+K319</f>
        <v>-0.2011259850114584</v>
      </c>
    </row>
    <row r="320" spans="1:12" x14ac:dyDescent="0.2">
      <c r="H320" s="432">
        <v>32978</v>
      </c>
    </row>
    <row r="322" spans="3:3" x14ac:dyDescent="0.2">
      <c r="C322" s="435"/>
    </row>
    <row r="325" spans="3:3" x14ac:dyDescent="0.2">
      <c r="C325" s="860"/>
    </row>
  </sheetData>
  <dataConsolidate/>
  <mergeCells count="1">
    <mergeCell ref="B1:B2"/>
  </mergeCells>
  <conditionalFormatting sqref="A2">
    <cfRule type="cellIs" dxfId="5" priority="31" operator="equal">
      <formula>0</formula>
    </cfRule>
  </conditionalFormatting>
  <pageMargins left="0.31496062992125984" right="0.23622047244094491" top="0.82677165354330717" bottom="0.74803149606299213" header="0.31496062992125984" footer="0.31496062992125984"/>
  <pageSetup paperSize="9" scale="80" fitToWidth="0" fitToHeight="0" orientation="landscape" r:id="rId1"/>
  <headerFooter>
    <oddHeader>&amp;R3. melléklet az .../2021. (XII. .....)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70"/>
  <sheetViews>
    <sheetView view="pageBreakPreview" topLeftCell="A133" zoomScale="124" zoomScaleNormal="100" zoomScaleSheetLayoutView="124" workbookViewId="0">
      <selection activeCell="I33" sqref="I33"/>
    </sheetView>
  </sheetViews>
  <sheetFormatPr defaultColWidth="9.140625" defaultRowHeight="12.75" x14ac:dyDescent="0.2"/>
  <cols>
    <col min="1" max="1" width="40.7109375" style="595" customWidth="1"/>
    <col min="2" max="5" width="11.85546875" style="632" customWidth="1"/>
    <col min="6" max="7" width="9.42578125" style="632" customWidth="1"/>
    <col min="8" max="8" width="11.85546875" style="632" customWidth="1"/>
    <col min="9" max="9" width="11.85546875" style="713" customWidth="1"/>
    <col min="10" max="10" width="12.140625" style="632" customWidth="1"/>
    <col min="11" max="13" width="11.85546875" style="632" customWidth="1"/>
    <col min="14" max="14" width="9.85546875" style="713" customWidth="1"/>
    <col min="15" max="15" width="16.140625" style="634" customWidth="1"/>
    <col min="16" max="16" width="13" style="634" customWidth="1"/>
    <col min="17" max="17" width="14.7109375" style="634" customWidth="1"/>
    <col min="18" max="18" width="11.28515625" style="634" customWidth="1"/>
    <col min="19" max="19" width="32" style="634" customWidth="1"/>
    <col min="20" max="16384" width="9.140625" style="634"/>
  </cols>
  <sheetData>
    <row r="1" spans="1:18" s="581" customFormat="1" ht="31.5" customHeight="1" thickTop="1" x14ac:dyDescent="0.2">
      <c r="A1" s="580"/>
      <c r="B1" s="820" t="s">
        <v>5</v>
      </c>
      <c r="C1" s="821"/>
      <c r="D1" s="821"/>
      <c r="E1" s="821"/>
      <c r="F1" s="821"/>
      <c r="G1" s="821"/>
      <c r="H1" s="821"/>
      <c r="I1" s="822"/>
      <c r="J1" s="823" t="s">
        <v>6</v>
      </c>
      <c r="K1" s="821"/>
      <c r="L1" s="821"/>
      <c r="M1" s="821"/>
      <c r="N1" s="824"/>
    </row>
    <row r="2" spans="1:18" s="581" customFormat="1" ht="31.5" customHeight="1" x14ac:dyDescent="0.2">
      <c r="A2" s="582"/>
      <c r="B2" s="583" t="s">
        <v>59</v>
      </c>
      <c r="C2" s="584" t="s">
        <v>60</v>
      </c>
      <c r="D2" s="584" t="s">
        <v>61</v>
      </c>
      <c r="E2" s="584" t="s">
        <v>62</v>
      </c>
      <c r="F2" s="584" t="s">
        <v>63</v>
      </c>
      <c r="G2" s="584" t="s">
        <v>64</v>
      </c>
      <c r="H2" s="584" t="s">
        <v>65</v>
      </c>
      <c r="I2" s="585" t="s">
        <v>26</v>
      </c>
      <c r="J2" s="586" t="s">
        <v>66</v>
      </c>
      <c r="K2" s="584" t="s">
        <v>67</v>
      </c>
      <c r="L2" s="584" t="s">
        <v>68</v>
      </c>
      <c r="M2" s="584" t="s">
        <v>69</v>
      </c>
      <c r="N2" s="587" t="s">
        <v>27</v>
      </c>
    </row>
    <row r="3" spans="1:18" s="595" customFormat="1" ht="38.25" x14ac:dyDescent="0.2">
      <c r="A3" s="588"/>
      <c r="B3" s="589" t="s">
        <v>78</v>
      </c>
      <c r="C3" s="590" t="s">
        <v>79</v>
      </c>
      <c r="D3" s="590" t="s">
        <v>80</v>
      </c>
      <c r="E3" s="590" t="s">
        <v>81</v>
      </c>
      <c r="F3" s="590" t="s">
        <v>82</v>
      </c>
      <c r="G3" s="590" t="s">
        <v>83</v>
      </c>
      <c r="H3" s="590" t="s">
        <v>84</v>
      </c>
      <c r="I3" s="591" t="s">
        <v>70</v>
      </c>
      <c r="J3" s="592" t="s">
        <v>79</v>
      </c>
      <c r="K3" s="590" t="s">
        <v>80</v>
      </c>
      <c r="L3" s="590" t="s">
        <v>85</v>
      </c>
      <c r="M3" s="590" t="s">
        <v>84</v>
      </c>
      <c r="N3" s="593" t="s">
        <v>70</v>
      </c>
      <c r="O3" s="594"/>
      <c r="P3" s="594"/>
      <c r="Q3" s="594"/>
      <c r="R3" s="594"/>
    </row>
    <row r="4" spans="1:18" s="603" customFormat="1" ht="31.5" customHeight="1" x14ac:dyDescent="0.2">
      <c r="A4" s="596" t="s">
        <v>86</v>
      </c>
      <c r="B4" s="597">
        <f t="shared" ref="B4:N4" si="0">SUM(B5+B67+B78+B108+B162+B217+B238+B256+B266)</f>
        <v>17209.007874015748</v>
      </c>
      <c r="C4" s="598">
        <f t="shared" si="0"/>
        <v>297688.18897637795</v>
      </c>
      <c r="D4" s="598">
        <f t="shared" si="0"/>
        <v>24463.826771653541</v>
      </c>
      <c r="E4" s="598">
        <f t="shared" si="0"/>
        <v>387445.16535433067</v>
      </c>
      <c r="F4" s="598">
        <f t="shared" si="0"/>
        <v>0</v>
      </c>
      <c r="G4" s="598">
        <f t="shared" si="0"/>
        <v>0</v>
      </c>
      <c r="H4" s="599">
        <f t="shared" si="0"/>
        <v>196272.35314960635</v>
      </c>
      <c r="I4" s="600">
        <f t="shared" si="0"/>
        <v>924348.54212598433</v>
      </c>
      <c r="J4" s="599">
        <f t="shared" si="0"/>
        <v>809293.59055118111</v>
      </c>
      <c r="K4" s="598">
        <f t="shared" si="0"/>
        <v>15000</v>
      </c>
      <c r="L4" s="598">
        <f t="shared" si="0"/>
        <v>5000</v>
      </c>
      <c r="M4" s="598">
        <f t="shared" si="0"/>
        <v>223904.9194488189</v>
      </c>
      <c r="N4" s="601">
        <f t="shared" si="0"/>
        <v>1053198.51</v>
      </c>
      <c r="O4" s="602"/>
      <c r="P4" s="602"/>
      <c r="Q4" s="602"/>
      <c r="R4" s="602"/>
    </row>
    <row r="5" spans="1:18" s="612" customFormat="1" ht="31.5" customHeight="1" x14ac:dyDescent="0.2">
      <c r="A5" s="604" t="s">
        <v>77</v>
      </c>
      <c r="B5" s="605">
        <f t="shared" ref="B5:J5" si="1">SUM(B6:B66)</f>
        <v>3937.0078740157483</v>
      </c>
      <c r="C5" s="606">
        <f t="shared" si="1"/>
        <v>297688.18897637795</v>
      </c>
      <c r="D5" s="606">
        <f t="shared" si="1"/>
        <v>13385.826771653543</v>
      </c>
      <c r="E5" s="606">
        <f t="shared" si="1"/>
        <v>187614.17322834645</v>
      </c>
      <c r="F5" s="606">
        <f t="shared" si="1"/>
        <v>0</v>
      </c>
      <c r="G5" s="606">
        <f t="shared" si="1"/>
        <v>0</v>
      </c>
      <c r="H5" s="606">
        <f t="shared" si="1"/>
        <v>135709.80314960633</v>
      </c>
      <c r="I5" s="607">
        <f t="shared" si="1"/>
        <v>638335</v>
      </c>
      <c r="J5" s="606">
        <f t="shared" si="1"/>
        <v>315275.59055118111</v>
      </c>
      <c r="K5" s="606">
        <f t="shared" ref="K5:L5" si="2">SUM(K6:K66)</f>
        <v>0</v>
      </c>
      <c r="L5" s="606">
        <f t="shared" si="2"/>
        <v>0</v>
      </c>
      <c r="M5" s="606">
        <f>SUM(M6:M66)</f>
        <v>85124.409448818915</v>
      </c>
      <c r="N5" s="610">
        <f>SUM(J5:M5)</f>
        <v>400400</v>
      </c>
      <c r="O5" s="611"/>
      <c r="P5" s="611"/>
      <c r="Q5" s="611"/>
      <c r="R5" s="611"/>
    </row>
    <row r="6" spans="1:18" s="621" customFormat="1" ht="25.5" hidden="1" x14ac:dyDescent="0.2">
      <c r="A6" s="613" t="s">
        <v>1066</v>
      </c>
      <c r="B6" s="739"/>
      <c r="C6" s="636"/>
      <c r="D6" s="636"/>
      <c r="E6" s="636"/>
      <c r="F6" s="636"/>
      <c r="G6" s="636"/>
      <c r="H6" s="615">
        <f>SUM(B6:E6)*0.27</f>
        <v>0</v>
      </c>
      <c r="I6" s="740">
        <f t="shared" ref="I6:I44" si="3">SUM(B6:H6)</f>
        <v>0</v>
      </c>
      <c r="J6" s="617"/>
      <c r="K6" s="618"/>
      <c r="L6" s="618"/>
      <c r="M6" s="619"/>
      <c r="N6" s="620"/>
      <c r="O6" s="611"/>
      <c r="P6" s="611"/>
      <c r="Q6" s="611"/>
      <c r="R6" s="611"/>
    </row>
    <row r="7" spans="1:18" s="621" customFormat="1" ht="25.5" x14ac:dyDescent="0.2">
      <c r="A7" s="613" t="s">
        <v>1092</v>
      </c>
      <c r="B7" s="615">
        <f>5000000/1.27/1000</f>
        <v>3937.0078740157483</v>
      </c>
      <c r="C7" s="636"/>
      <c r="D7" s="636"/>
      <c r="E7" s="636"/>
      <c r="F7" s="636"/>
      <c r="G7" s="636"/>
      <c r="H7" s="615">
        <f>SUM(B7:E7)*0.27+1</f>
        <v>1063.9921259842522</v>
      </c>
      <c r="I7" s="740">
        <f t="shared" si="3"/>
        <v>5001</v>
      </c>
      <c r="J7" s="617"/>
      <c r="K7" s="618"/>
      <c r="L7" s="618"/>
      <c r="M7" s="619"/>
      <c r="N7" s="620"/>
      <c r="O7" s="611"/>
      <c r="P7" s="611"/>
      <c r="Q7" s="611"/>
      <c r="R7" s="611"/>
    </row>
    <row r="8" spans="1:18" s="621" customFormat="1" hidden="1" x14ac:dyDescent="0.2">
      <c r="A8" s="756" t="s">
        <v>1173</v>
      </c>
      <c r="B8" s="635"/>
      <c r="C8" s="636"/>
      <c r="D8" s="636"/>
      <c r="E8" s="636"/>
      <c r="F8" s="636"/>
      <c r="G8" s="636"/>
      <c r="H8" s="615"/>
      <c r="I8" s="757">
        <f t="shared" si="3"/>
        <v>0</v>
      </c>
      <c r="J8" s="617"/>
      <c r="K8" s="618"/>
      <c r="L8" s="618"/>
      <c r="M8" s="619"/>
      <c r="N8" s="620"/>
      <c r="O8" s="611"/>
      <c r="P8" s="611"/>
      <c r="Q8" s="611"/>
      <c r="R8" s="611"/>
    </row>
    <row r="9" spans="1:18" s="621" customFormat="1" x14ac:dyDescent="0.2">
      <c r="A9" s="613" t="s">
        <v>1234</v>
      </c>
      <c r="B9" s="739"/>
      <c r="C9" s="741">
        <f>(-100000000+150000000)/1.27/1000</f>
        <v>39370.078740157478</v>
      </c>
      <c r="D9" s="636"/>
      <c r="E9" s="636"/>
      <c r="F9" s="636"/>
      <c r="G9" s="636"/>
      <c r="H9" s="615">
        <f t="shared" ref="H9:H44" si="4">SUM(B9:E9)*0.27</f>
        <v>10629.92125984252</v>
      </c>
      <c r="I9" s="740">
        <f t="shared" si="3"/>
        <v>50000</v>
      </c>
      <c r="J9" s="617"/>
      <c r="K9" s="618"/>
      <c r="L9" s="618"/>
      <c r="M9" s="619"/>
      <c r="N9" s="620"/>
      <c r="O9" s="611"/>
      <c r="P9" s="611"/>
      <c r="Q9" s="611"/>
      <c r="R9" s="611"/>
    </row>
    <row r="10" spans="1:18" s="621" customFormat="1" hidden="1" x14ac:dyDescent="0.2">
      <c r="A10" s="756" t="s">
        <v>1082</v>
      </c>
      <c r="B10" s="643"/>
      <c r="C10" s="742"/>
      <c r="D10" s="636"/>
      <c r="E10" s="636"/>
      <c r="F10" s="636"/>
      <c r="G10" s="636"/>
      <c r="H10" s="615">
        <f t="shared" si="4"/>
        <v>0</v>
      </c>
      <c r="I10" s="757">
        <f t="shared" si="3"/>
        <v>0</v>
      </c>
      <c r="J10" s="617"/>
      <c r="K10" s="618"/>
      <c r="L10" s="618"/>
      <c r="M10" s="619"/>
      <c r="N10" s="620"/>
      <c r="O10" s="611"/>
      <c r="P10" s="611"/>
      <c r="Q10" s="611"/>
      <c r="R10" s="611"/>
    </row>
    <row r="11" spans="1:18" s="621" customFormat="1" x14ac:dyDescent="0.2">
      <c r="A11" s="613" t="s">
        <v>1081</v>
      </c>
      <c r="B11" s="741"/>
      <c r="C11" s="741">
        <f>(-45000000+100000000)/1.27/1000</f>
        <v>43307.086614173226</v>
      </c>
      <c r="D11" s="636"/>
      <c r="E11" s="636"/>
      <c r="F11" s="636"/>
      <c r="G11" s="636"/>
      <c r="H11" s="615">
        <f t="shared" si="4"/>
        <v>11692.913385826772</v>
      </c>
      <c r="I11" s="740">
        <f t="shared" si="3"/>
        <v>55000</v>
      </c>
      <c r="J11" s="617"/>
      <c r="K11" s="618"/>
      <c r="L11" s="618"/>
      <c r="M11" s="619"/>
      <c r="N11" s="620"/>
      <c r="O11" s="611"/>
      <c r="P11" s="611"/>
      <c r="Q11" s="611"/>
      <c r="R11" s="611"/>
    </row>
    <row r="12" spans="1:18" s="621" customFormat="1" ht="25.5" x14ac:dyDescent="0.2">
      <c r="A12" s="613" t="s">
        <v>1083</v>
      </c>
      <c r="B12" s="632"/>
      <c r="C12" s="741">
        <f>30000000/1.27/1000</f>
        <v>23622.047244094487</v>
      </c>
      <c r="D12" s="636"/>
      <c r="E12" s="636"/>
      <c r="F12" s="636"/>
      <c r="G12" s="636"/>
      <c r="H12" s="615">
        <f t="shared" si="4"/>
        <v>6377.9527559055123</v>
      </c>
      <c r="I12" s="740">
        <f t="shared" si="3"/>
        <v>30000</v>
      </c>
      <c r="J12" s="617"/>
      <c r="K12" s="618"/>
      <c r="L12" s="618"/>
      <c r="M12" s="619"/>
      <c r="N12" s="620"/>
      <c r="O12" s="611"/>
      <c r="P12" s="611"/>
      <c r="Q12" s="611"/>
      <c r="R12" s="611"/>
    </row>
    <row r="13" spans="1:18" s="621" customFormat="1" x14ac:dyDescent="0.2">
      <c r="A13" s="613" t="s">
        <v>1067</v>
      </c>
      <c r="B13" s="632"/>
      <c r="C13" s="741">
        <f>11000000/1.27/1000</f>
        <v>8661.4173228346463</v>
      </c>
      <c r="D13" s="636"/>
      <c r="E13" s="636"/>
      <c r="F13" s="636"/>
      <c r="G13" s="636"/>
      <c r="H13" s="615">
        <f t="shared" si="4"/>
        <v>2338.5826771653547</v>
      </c>
      <c r="I13" s="740">
        <f t="shared" si="3"/>
        <v>11000</v>
      </c>
      <c r="J13" s="617"/>
      <c r="K13" s="618"/>
      <c r="L13" s="618"/>
      <c r="M13" s="619"/>
      <c r="N13" s="620"/>
      <c r="O13" s="611"/>
      <c r="P13" s="611"/>
      <c r="Q13" s="611"/>
      <c r="R13" s="611"/>
    </row>
    <row r="14" spans="1:18" s="621" customFormat="1" ht="25.5" x14ac:dyDescent="0.2">
      <c r="A14" s="613" t="s">
        <v>1117</v>
      </c>
      <c r="B14" s="739"/>
      <c r="C14" s="741">
        <v>3200</v>
      </c>
      <c r="D14" s="636"/>
      <c r="E14" s="636"/>
      <c r="F14" s="636"/>
      <c r="G14" s="636"/>
      <c r="H14" s="615">
        <f t="shared" si="4"/>
        <v>864</v>
      </c>
      <c r="I14" s="740">
        <f t="shared" si="3"/>
        <v>4064</v>
      </c>
      <c r="J14" s="617"/>
      <c r="K14" s="618"/>
      <c r="L14" s="618"/>
      <c r="M14" s="619"/>
      <c r="N14" s="620"/>
      <c r="O14" s="611"/>
      <c r="P14" s="611"/>
      <c r="Q14" s="611"/>
      <c r="R14" s="611"/>
    </row>
    <row r="15" spans="1:18" s="621" customFormat="1" ht="25.5" x14ac:dyDescent="0.2">
      <c r="A15" s="613" t="s">
        <v>1079</v>
      </c>
      <c r="B15" s="746"/>
      <c r="C15" s="741">
        <f>150000000/1.27/1000</f>
        <v>118110.23622047243</v>
      </c>
      <c r="D15" s="636"/>
      <c r="E15" s="636"/>
      <c r="F15" s="636"/>
      <c r="G15" s="636"/>
      <c r="H15" s="615">
        <f t="shared" si="4"/>
        <v>31889.763779527559</v>
      </c>
      <c r="I15" s="740">
        <f t="shared" si="3"/>
        <v>150000</v>
      </c>
      <c r="J15" s="617"/>
      <c r="K15" s="618"/>
      <c r="L15" s="618"/>
      <c r="M15" s="619"/>
      <c r="N15" s="620"/>
      <c r="O15" s="611"/>
      <c r="P15" s="611"/>
      <c r="Q15" s="611"/>
      <c r="R15" s="611"/>
    </row>
    <row r="16" spans="1:18" s="621" customFormat="1" x14ac:dyDescent="0.2">
      <c r="A16" s="613" t="s">
        <v>1080</v>
      </c>
      <c r="B16" s="746"/>
      <c r="C16" s="741">
        <f>25000000/1.27/1000</f>
        <v>19685.039370078739</v>
      </c>
      <c r="D16" s="636"/>
      <c r="E16" s="636"/>
      <c r="F16" s="636"/>
      <c r="G16" s="636"/>
      <c r="H16" s="615">
        <f t="shared" si="4"/>
        <v>5314.9606299212601</v>
      </c>
      <c r="I16" s="740">
        <f t="shared" si="3"/>
        <v>25000</v>
      </c>
      <c r="J16" s="617"/>
      <c r="K16" s="618"/>
      <c r="L16" s="618"/>
      <c r="M16" s="619"/>
      <c r="N16" s="620"/>
      <c r="O16" s="611"/>
      <c r="P16" s="611"/>
      <c r="Q16" s="611"/>
      <c r="R16" s="611"/>
    </row>
    <row r="17" spans="1:18" s="621" customFormat="1" x14ac:dyDescent="0.2">
      <c r="A17" s="613" t="s">
        <v>1116</v>
      </c>
      <c r="B17" s="739"/>
      <c r="C17" s="742">
        <f>3000/1.27</f>
        <v>2362.2047244094488</v>
      </c>
      <c r="D17" s="636"/>
      <c r="E17" s="636"/>
      <c r="F17" s="636"/>
      <c r="G17" s="636"/>
      <c r="H17" s="615">
        <f t="shared" si="4"/>
        <v>637.79527559055123</v>
      </c>
      <c r="I17" s="740">
        <f t="shared" si="3"/>
        <v>3000</v>
      </c>
      <c r="J17" s="617"/>
      <c r="K17" s="618"/>
      <c r="L17" s="618"/>
      <c r="M17" s="619"/>
      <c r="N17" s="620"/>
      <c r="O17" s="611"/>
      <c r="P17" s="611"/>
      <c r="Q17" s="611"/>
      <c r="R17" s="611"/>
    </row>
    <row r="18" spans="1:18" s="621" customFormat="1" x14ac:dyDescent="0.2">
      <c r="A18" s="613" t="s">
        <v>1078</v>
      </c>
      <c r="B18" s="739"/>
      <c r="C18" s="742"/>
      <c r="D18" s="636">
        <f>1000/1.27</f>
        <v>787.40157480314963</v>
      </c>
      <c r="E18" s="636"/>
      <c r="F18" s="636"/>
      <c r="G18" s="636"/>
      <c r="H18" s="615">
        <f t="shared" si="4"/>
        <v>212.5984251968504</v>
      </c>
      <c r="I18" s="740">
        <f t="shared" si="3"/>
        <v>1000</v>
      </c>
      <c r="J18" s="617"/>
      <c r="K18" s="618"/>
      <c r="L18" s="618"/>
      <c r="M18" s="619"/>
      <c r="N18" s="620"/>
      <c r="O18" s="611"/>
      <c r="P18" s="611"/>
      <c r="Q18" s="611"/>
      <c r="R18" s="611"/>
    </row>
    <row r="19" spans="1:18" s="621" customFormat="1" x14ac:dyDescent="0.2">
      <c r="A19" s="613" t="s">
        <v>1077</v>
      </c>
      <c r="B19" s="739"/>
      <c r="C19" s="742"/>
      <c r="D19" s="636">
        <f>1000/1.27</f>
        <v>787.40157480314963</v>
      </c>
      <c r="E19" s="636"/>
      <c r="F19" s="636"/>
      <c r="G19" s="636"/>
      <c r="H19" s="615">
        <f t="shared" si="4"/>
        <v>212.5984251968504</v>
      </c>
      <c r="I19" s="740">
        <f t="shared" si="3"/>
        <v>1000</v>
      </c>
      <c r="J19" s="617"/>
      <c r="K19" s="618"/>
      <c r="L19" s="618"/>
      <c r="M19" s="619"/>
      <c r="N19" s="620"/>
      <c r="O19" s="611"/>
      <c r="P19" s="611"/>
      <c r="Q19" s="611"/>
      <c r="R19" s="611"/>
    </row>
    <row r="20" spans="1:18" s="621" customFormat="1" ht="25.5" x14ac:dyDescent="0.2">
      <c r="A20" s="613" t="s">
        <v>1118</v>
      </c>
      <c r="B20" s="739"/>
      <c r="C20" s="742"/>
      <c r="D20" s="636">
        <f>15000/1.27</f>
        <v>11811.023622047243</v>
      </c>
      <c r="E20" s="636"/>
      <c r="F20" s="636"/>
      <c r="G20" s="636"/>
      <c r="H20" s="615">
        <f t="shared" si="4"/>
        <v>3188.9763779527561</v>
      </c>
      <c r="I20" s="740">
        <f t="shared" si="3"/>
        <v>15000</v>
      </c>
      <c r="J20" s="617"/>
      <c r="K20" s="618"/>
      <c r="L20" s="618"/>
      <c r="M20" s="619"/>
      <c r="N20" s="620"/>
      <c r="O20" s="611"/>
      <c r="P20" s="611"/>
      <c r="Q20" s="611"/>
      <c r="R20" s="611"/>
    </row>
    <row r="21" spans="1:18" s="621" customFormat="1" hidden="1" x14ac:dyDescent="0.2">
      <c r="A21" s="756" t="s">
        <v>1169</v>
      </c>
      <c r="B21" s="739"/>
      <c r="C21" s="742"/>
      <c r="D21" s="636"/>
      <c r="E21" s="636"/>
      <c r="F21" s="636"/>
      <c r="G21" s="636"/>
      <c r="H21" s="615">
        <f t="shared" ref="H21" si="5">SUM(B21:E21)*0.27</f>
        <v>0</v>
      </c>
      <c r="I21" s="757">
        <f t="shared" ref="I21" si="6">SUM(B21:H21)</f>
        <v>0</v>
      </c>
      <c r="J21" s="617"/>
      <c r="K21" s="618"/>
      <c r="L21" s="618"/>
      <c r="M21" s="619"/>
      <c r="N21" s="620"/>
      <c r="O21" s="611"/>
      <c r="P21" s="611"/>
      <c r="Q21" s="611"/>
      <c r="R21" s="611"/>
    </row>
    <row r="22" spans="1:18" s="621" customFormat="1" hidden="1" x14ac:dyDescent="0.2">
      <c r="A22" s="613"/>
      <c r="B22" s="739"/>
      <c r="C22" s="741"/>
      <c r="D22" s="636"/>
      <c r="E22" s="741"/>
      <c r="F22" s="636"/>
      <c r="G22" s="636"/>
      <c r="H22" s="615">
        <f t="shared" si="4"/>
        <v>0</v>
      </c>
      <c r="I22" s="740">
        <f t="shared" si="3"/>
        <v>0</v>
      </c>
      <c r="J22" s="617"/>
      <c r="K22" s="618"/>
      <c r="L22" s="618"/>
      <c r="M22" s="619"/>
      <c r="N22" s="620"/>
      <c r="O22" s="611"/>
      <c r="P22" s="611"/>
      <c r="Q22" s="611"/>
      <c r="R22" s="611"/>
    </row>
    <row r="23" spans="1:18" s="621" customFormat="1" x14ac:dyDescent="0.2">
      <c r="A23" s="758" t="s">
        <v>1167</v>
      </c>
      <c r="B23" s="739"/>
      <c r="C23" s="742"/>
      <c r="D23" s="636"/>
      <c r="E23" s="741">
        <f>18000/1.27</f>
        <v>14173.228346456694</v>
      </c>
      <c r="F23" s="636"/>
      <c r="G23" s="636"/>
      <c r="H23" s="615">
        <f t="shared" ref="H23" si="7">SUM(B23:E23)*0.27</f>
        <v>3826.7716535433074</v>
      </c>
      <c r="I23" s="757">
        <f t="shared" ref="I23" si="8">SUM(B23:H23)</f>
        <v>18000</v>
      </c>
      <c r="J23" s="617"/>
      <c r="K23" s="618"/>
      <c r="L23" s="618"/>
      <c r="M23" s="619"/>
      <c r="N23" s="620"/>
      <c r="O23" s="611"/>
      <c r="P23" s="611"/>
      <c r="Q23" s="611"/>
      <c r="R23" s="611"/>
    </row>
    <row r="24" spans="1:18" s="621" customFormat="1" x14ac:dyDescent="0.2">
      <c r="A24" s="748" t="s">
        <v>1084</v>
      </c>
      <c r="B24" s="739"/>
      <c r="C24" s="742"/>
      <c r="D24" s="636"/>
      <c r="E24" s="741">
        <f>15000000/1.27/1000</f>
        <v>11811.023622047243</v>
      </c>
      <c r="F24" s="636"/>
      <c r="G24" s="636"/>
      <c r="H24" s="615">
        <f t="shared" si="4"/>
        <v>3188.9763779527561</v>
      </c>
      <c r="I24" s="740">
        <f t="shared" si="3"/>
        <v>15000</v>
      </c>
      <c r="J24" s="617"/>
      <c r="K24" s="618"/>
      <c r="L24" s="618"/>
      <c r="M24" s="619"/>
      <c r="N24" s="620"/>
      <c r="O24" s="611"/>
      <c r="P24" s="611"/>
      <c r="Q24" s="611"/>
      <c r="R24" s="611"/>
    </row>
    <row r="25" spans="1:18" s="621" customFormat="1" x14ac:dyDescent="0.2">
      <c r="A25" s="613" t="s">
        <v>1085</v>
      </c>
      <c r="B25" s="739"/>
      <c r="C25" s="742"/>
      <c r="D25" s="636"/>
      <c r="E25" s="742">
        <f>40000000/1.27/1000</f>
        <v>31496.062992125986</v>
      </c>
      <c r="F25" s="636"/>
      <c r="G25" s="636"/>
      <c r="H25" s="615">
        <f t="shared" si="4"/>
        <v>8503.9370078740176</v>
      </c>
      <c r="I25" s="740">
        <f t="shared" si="3"/>
        <v>40000</v>
      </c>
      <c r="J25" s="617"/>
      <c r="K25" s="618"/>
      <c r="L25" s="618"/>
      <c r="M25" s="619"/>
      <c r="N25" s="620"/>
      <c r="O25" s="611"/>
      <c r="P25" s="611"/>
      <c r="Q25" s="611"/>
      <c r="R25" s="611"/>
    </row>
    <row r="26" spans="1:18" s="621" customFormat="1" x14ac:dyDescent="0.2">
      <c r="A26" s="747" t="s">
        <v>1121</v>
      </c>
      <c r="B26" s="739"/>
      <c r="C26" s="742"/>
      <c r="D26" s="636"/>
      <c r="E26" s="742">
        <f>1520/1.27</f>
        <v>1196.8503937007874</v>
      </c>
      <c r="F26" s="636"/>
      <c r="G26" s="636"/>
      <c r="H26" s="615">
        <f t="shared" si="4"/>
        <v>323.14960629921262</v>
      </c>
      <c r="I26" s="740">
        <f t="shared" si="3"/>
        <v>1520</v>
      </c>
      <c r="J26" s="617"/>
      <c r="K26" s="618"/>
      <c r="L26" s="618"/>
      <c r="M26" s="619"/>
      <c r="N26" s="620"/>
      <c r="O26" s="611"/>
      <c r="P26" s="611"/>
      <c r="Q26" s="611"/>
      <c r="R26" s="611"/>
    </row>
    <row r="27" spans="1:18" s="621" customFormat="1" x14ac:dyDescent="0.2">
      <c r="A27" s="748" t="s">
        <v>1068</v>
      </c>
      <c r="B27" s="739"/>
      <c r="C27" s="742"/>
      <c r="D27" s="636"/>
      <c r="E27" s="742">
        <f>3000000/1.27/1000</f>
        <v>2362.2047244094488</v>
      </c>
      <c r="F27" s="636"/>
      <c r="G27" s="636"/>
      <c r="H27" s="615">
        <f t="shared" si="4"/>
        <v>637.79527559055123</v>
      </c>
      <c r="I27" s="740">
        <f t="shared" si="3"/>
        <v>3000</v>
      </c>
      <c r="J27" s="617"/>
      <c r="K27" s="618"/>
      <c r="L27" s="618"/>
      <c r="M27" s="619"/>
      <c r="N27" s="620"/>
      <c r="O27" s="611"/>
      <c r="P27" s="611"/>
      <c r="Q27" s="611"/>
      <c r="R27" s="611"/>
    </row>
    <row r="28" spans="1:18" s="621" customFormat="1" x14ac:dyDescent="0.2">
      <c r="A28" s="749" t="s">
        <v>1119</v>
      </c>
      <c r="B28" s="739"/>
      <c r="C28" s="742"/>
      <c r="D28" s="636"/>
      <c r="E28" s="742">
        <f>10000/2/1.27</f>
        <v>3937.0078740157478</v>
      </c>
      <c r="F28" s="636"/>
      <c r="G28" s="636"/>
      <c r="H28" s="615">
        <f t="shared" si="4"/>
        <v>1062.992125984252</v>
      </c>
      <c r="I28" s="740">
        <f t="shared" si="3"/>
        <v>5000</v>
      </c>
      <c r="J28" s="617"/>
      <c r="K28" s="618"/>
      <c r="L28" s="618"/>
      <c r="M28" s="619"/>
      <c r="N28" s="620"/>
      <c r="O28" s="611"/>
      <c r="P28" s="611"/>
      <c r="Q28" s="611"/>
      <c r="R28" s="611"/>
    </row>
    <row r="29" spans="1:18" s="621" customFormat="1" x14ac:dyDescent="0.2">
      <c r="A29" s="749" t="s">
        <v>1075</v>
      </c>
      <c r="B29" s="744"/>
      <c r="C29" s="741"/>
      <c r="D29" s="632"/>
      <c r="E29" s="741">
        <f>300000/1.27/1000</f>
        <v>236.22047244094486</v>
      </c>
      <c r="F29" s="636"/>
      <c r="G29" s="636"/>
      <c r="H29" s="615">
        <f t="shared" si="4"/>
        <v>63.779527559055119</v>
      </c>
      <c r="I29" s="740">
        <f t="shared" si="3"/>
        <v>300</v>
      </c>
      <c r="J29" s="741"/>
      <c r="K29" s="618"/>
      <c r="L29" s="618"/>
      <c r="M29" s="619">
        <f>+J29*0.27</f>
        <v>0</v>
      </c>
      <c r="N29" s="620">
        <f>+J29+M29</f>
        <v>0</v>
      </c>
      <c r="O29" s="611"/>
      <c r="P29" s="611"/>
      <c r="Q29" s="611"/>
      <c r="R29" s="611"/>
    </row>
    <row r="30" spans="1:18" s="621" customFormat="1" x14ac:dyDescent="0.2">
      <c r="A30" s="613" t="s">
        <v>1071</v>
      </c>
      <c r="B30" s="739"/>
      <c r="C30" s="741"/>
      <c r="D30" s="636"/>
      <c r="E30" s="741">
        <f>6000000/1.27/1000</f>
        <v>4724.4094488188975</v>
      </c>
      <c r="F30" s="636"/>
      <c r="G30" s="636"/>
      <c r="H30" s="615">
        <f t="shared" si="4"/>
        <v>1275.5905511811025</v>
      </c>
      <c r="I30" s="740">
        <f t="shared" si="3"/>
        <v>6000</v>
      </c>
      <c r="J30" s="617"/>
      <c r="K30" s="618"/>
      <c r="L30" s="618"/>
      <c r="M30" s="619"/>
      <c r="N30" s="620"/>
      <c r="O30" s="611"/>
      <c r="P30" s="611"/>
      <c r="Q30" s="611"/>
      <c r="R30" s="611"/>
    </row>
    <row r="31" spans="1:18" s="621" customFormat="1" ht="25.5" x14ac:dyDescent="0.2">
      <c r="A31" s="613" t="s">
        <v>1109</v>
      </c>
      <c r="B31" s="739"/>
      <c r="C31" s="741"/>
      <c r="D31" s="636"/>
      <c r="E31" s="631">
        <f>3000/1.27</f>
        <v>2362.2047244094488</v>
      </c>
      <c r="F31" s="636"/>
      <c r="G31" s="636"/>
      <c r="H31" s="615">
        <f t="shared" si="4"/>
        <v>637.79527559055123</v>
      </c>
      <c r="I31" s="740">
        <f t="shared" si="3"/>
        <v>3000</v>
      </c>
      <c r="J31" s="617"/>
      <c r="K31" s="618"/>
      <c r="L31" s="618"/>
      <c r="M31" s="619"/>
      <c r="N31" s="620"/>
      <c r="O31" s="611"/>
      <c r="P31" s="611"/>
      <c r="Q31" s="611"/>
      <c r="R31" s="611"/>
    </row>
    <row r="32" spans="1:18" s="621" customFormat="1" ht="25.5" x14ac:dyDescent="0.2">
      <c r="A32" s="747" t="s">
        <v>1108</v>
      </c>
      <c r="B32" s="739"/>
      <c r="C32" s="741"/>
      <c r="D32" s="636"/>
      <c r="E32" s="741">
        <f>950/1.27</f>
        <v>748.03149606299212</v>
      </c>
      <c r="F32" s="636"/>
      <c r="G32" s="636"/>
      <c r="H32" s="615">
        <f t="shared" si="4"/>
        <v>201.96850393700788</v>
      </c>
      <c r="I32" s="740">
        <f t="shared" si="3"/>
        <v>950</v>
      </c>
      <c r="J32" s="617"/>
      <c r="K32" s="618"/>
      <c r="L32" s="618"/>
      <c r="M32" s="619"/>
      <c r="N32" s="620"/>
      <c r="O32" s="611"/>
      <c r="P32" s="611"/>
      <c r="Q32" s="611"/>
      <c r="R32" s="611"/>
    </row>
    <row r="33" spans="1:18" s="621" customFormat="1" x14ac:dyDescent="0.2">
      <c r="A33" s="654" t="s">
        <v>1122</v>
      </c>
      <c r="B33" s="743"/>
      <c r="C33" s="713"/>
      <c r="D33" s="712"/>
      <c r="E33" s="631">
        <f>(3800+1200)/1.27</f>
        <v>3937.0078740157478</v>
      </c>
      <c r="F33" s="636"/>
      <c r="G33" s="636"/>
      <c r="H33" s="615">
        <f t="shared" si="4"/>
        <v>1062.992125984252</v>
      </c>
      <c r="I33" s="740">
        <f t="shared" si="3"/>
        <v>5000</v>
      </c>
      <c r="J33" s="617"/>
      <c r="K33" s="618"/>
      <c r="L33" s="618"/>
      <c r="M33" s="619"/>
      <c r="N33" s="620"/>
      <c r="O33" s="611"/>
      <c r="P33" s="611"/>
      <c r="Q33" s="611"/>
      <c r="R33" s="611"/>
    </row>
    <row r="34" spans="1:18" s="621" customFormat="1" x14ac:dyDescent="0.2">
      <c r="A34" s="613" t="s">
        <v>1074</v>
      </c>
      <c r="B34" s="739"/>
      <c r="C34" s="741"/>
      <c r="D34" s="636"/>
      <c r="E34" s="741">
        <f>300000/1.27/1000</f>
        <v>236.22047244094486</v>
      </c>
      <c r="F34" s="636"/>
      <c r="G34" s="636"/>
      <c r="H34" s="615">
        <f t="shared" si="4"/>
        <v>63.779527559055119</v>
      </c>
      <c r="I34" s="740">
        <f t="shared" si="3"/>
        <v>300</v>
      </c>
      <c r="J34" s="617"/>
      <c r="K34" s="618"/>
      <c r="L34" s="618"/>
      <c r="M34" s="619"/>
      <c r="N34" s="620"/>
      <c r="O34" s="611"/>
      <c r="P34" s="611"/>
      <c r="Q34" s="611"/>
      <c r="R34" s="611"/>
    </row>
    <row r="35" spans="1:18" s="621" customFormat="1" x14ac:dyDescent="0.2">
      <c r="A35" s="654" t="s">
        <v>1123</v>
      </c>
      <c r="B35" s="739"/>
      <c r="C35" s="636"/>
      <c r="D35" s="636"/>
      <c r="E35" s="632">
        <f>13500/1.27</f>
        <v>10629.92125984252</v>
      </c>
      <c r="F35" s="636"/>
      <c r="G35" s="636"/>
      <c r="H35" s="615">
        <f t="shared" si="4"/>
        <v>2870.0787401574808</v>
      </c>
      <c r="I35" s="740">
        <f t="shared" si="3"/>
        <v>13500</v>
      </c>
      <c r="J35" s="617"/>
      <c r="K35" s="618"/>
      <c r="L35" s="618"/>
      <c r="M35" s="619"/>
      <c r="N35" s="620"/>
      <c r="O35" s="611"/>
      <c r="P35" s="611"/>
      <c r="Q35" s="611"/>
      <c r="R35" s="611"/>
    </row>
    <row r="36" spans="1:18" s="621" customFormat="1" x14ac:dyDescent="0.2">
      <c r="A36" s="613" t="s">
        <v>1070</v>
      </c>
      <c r="B36" s="739"/>
      <c r="C36" s="742"/>
      <c r="D36" s="636"/>
      <c r="E36" s="741">
        <f>10000000/1.27/1000</f>
        <v>7874.0157480314965</v>
      </c>
      <c r="F36" s="636"/>
      <c r="G36" s="636"/>
      <c r="H36" s="615">
        <f t="shared" si="4"/>
        <v>2125.9842519685044</v>
      </c>
      <c r="I36" s="740">
        <f t="shared" si="3"/>
        <v>10000</v>
      </c>
      <c r="J36" s="617"/>
      <c r="K36" s="618"/>
      <c r="L36" s="618"/>
      <c r="M36" s="619"/>
      <c r="N36" s="620"/>
      <c r="O36" s="611"/>
      <c r="P36" s="611"/>
      <c r="Q36" s="611"/>
      <c r="R36" s="611"/>
    </row>
    <row r="37" spans="1:18" s="621" customFormat="1" x14ac:dyDescent="0.2">
      <c r="A37" s="613" t="s">
        <v>1078</v>
      </c>
      <c r="B37" s="739"/>
      <c r="C37" s="742"/>
      <c r="D37" s="636"/>
      <c r="E37" s="741">
        <f>1000000/1.27/1000</f>
        <v>787.40157480314951</v>
      </c>
      <c r="F37" s="636"/>
      <c r="G37" s="636"/>
      <c r="H37" s="615">
        <f t="shared" si="4"/>
        <v>212.59842519685037</v>
      </c>
      <c r="I37" s="740">
        <f t="shared" si="3"/>
        <v>999.99999999999989</v>
      </c>
      <c r="J37" s="617"/>
      <c r="K37" s="618"/>
      <c r="L37" s="618"/>
      <c r="M37" s="619"/>
      <c r="N37" s="620"/>
      <c r="O37" s="611"/>
      <c r="P37" s="611"/>
      <c r="Q37" s="611"/>
      <c r="R37" s="611"/>
    </row>
    <row r="38" spans="1:18" s="621" customFormat="1" hidden="1" x14ac:dyDescent="0.2">
      <c r="A38" s="613" t="s">
        <v>1077</v>
      </c>
      <c r="B38" s="739"/>
      <c r="C38" s="742"/>
      <c r="D38" s="636"/>
      <c r="E38" s="741"/>
      <c r="F38" s="636"/>
      <c r="G38" s="636"/>
      <c r="H38" s="615">
        <f t="shared" si="4"/>
        <v>0</v>
      </c>
      <c r="I38" s="740">
        <f t="shared" si="3"/>
        <v>0</v>
      </c>
      <c r="J38" s="617"/>
      <c r="K38" s="618"/>
      <c r="L38" s="618"/>
      <c r="M38" s="619"/>
      <c r="N38" s="620"/>
      <c r="O38" s="611"/>
      <c r="P38" s="611"/>
      <c r="Q38" s="611"/>
      <c r="R38" s="611"/>
    </row>
    <row r="39" spans="1:18" s="621" customFormat="1" x14ac:dyDescent="0.2">
      <c r="A39" s="756" t="s">
        <v>1222</v>
      </c>
      <c r="B39" s="739"/>
      <c r="C39" s="742">
        <f>(-250000+300000)/1.27</f>
        <v>39370.078740157478</v>
      </c>
      <c r="D39" s="636"/>
      <c r="E39" s="741"/>
      <c r="F39" s="636"/>
      <c r="G39" s="636"/>
      <c r="H39" s="615">
        <f t="shared" ref="H39" si="9">SUM(B39:E39)*0.27</f>
        <v>10629.92125984252</v>
      </c>
      <c r="I39" s="757">
        <f t="shared" ref="I39" si="10">SUM(B39:H39)</f>
        <v>50000</v>
      </c>
      <c r="J39" s="617"/>
      <c r="K39" s="618"/>
      <c r="L39" s="618"/>
      <c r="M39" s="619"/>
      <c r="N39" s="620"/>
      <c r="O39" s="611"/>
      <c r="P39" s="611"/>
      <c r="Q39" s="611"/>
      <c r="R39" s="611"/>
    </row>
    <row r="40" spans="1:18" s="621" customFormat="1" ht="25.5" x14ac:dyDescent="0.2">
      <c r="A40" s="613" t="s">
        <v>1120</v>
      </c>
      <c r="B40" s="739"/>
      <c r="C40" s="742"/>
      <c r="D40" s="636"/>
      <c r="E40" s="741">
        <f>25000/1.27</f>
        <v>19685.039370078739</v>
      </c>
      <c r="F40" s="636"/>
      <c r="G40" s="636"/>
      <c r="H40" s="615">
        <f t="shared" si="4"/>
        <v>5314.9606299212601</v>
      </c>
      <c r="I40" s="740">
        <f t="shared" si="3"/>
        <v>25000</v>
      </c>
      <c r="J40" s="617"/>
      <c r="K40" s="618"/>
      <c r="L40" s="618"/>
      <c r="M40" s="619"/>
      <c r="N40" s="620"/>
      <c r="O40" s="611"/>
      <c r="P40" s="611"/>
      <c r="Q40" s="611"/>
      <c r="R40" s="611"/>
    </row>
    <row r="41" spans="1:18" s="621" customFormat="1" x14ac:dyDescent="0.2">
      <c r="A41" s="613" t="s">
        <v>1229</v>
      </c>
      <c r="B41" s="739"/>
      <c r="C41" s="742"/>
      <c r="D41" s="636"/>
      <c r="E41" s="741">
        <f>(55000+20000)/1.27</f>
        <v>59055.118110236217</v>
      </c>
      <c r="F41" s="636"/>
      <c r="G41" s="636"/>
      <c r="H41" s="615">
        <f t="shared" si="4"/>
        <v>15944.881889763779</v>
      </c>
      <c r="I41" s="740">
        <f t="shared" si="3"/>
        <v>75000</v>
      </c>
      <c r="J41" s="617"/>
      <c r="K41" s="618"/>
      <c r="L41" s="618"/>
      <c r="M41" s="619"/>
      <c r="N41" s="620"/>
      <c r="O41" s="611"/>
      <c r="P41" s="611"/>
      <c r="Q41" s="611"/>
      <c r="R41" s="611"/>
    </row>
    <row r="42" spans="1:18" s="621" customFormat="1" ht="30" x14ac:dyDescent="0.2">
      <c r="A42" s="613" t="s">
        <v>1126</v>
      </c>
      <c r="B42" s="739"/>
      <c r="C42" s="742"/>
      <c r="D42" s="636"/>
      <c r="E42" s="741">
        <f>15000000/1.27/1000</f>
        <v>11811.023622047243</v>
      </c>
      <c r="F42" s="636"/>
      <c r="G42" s="636"/>
      <c r="H42" s="615">
        <f t="shared" si="4"/>
        <v>3188.9763779527561</v>
      </c>
      <c r="I42" s="740">
        <f t="shared" si="3"/>
        <v>15000</v>
      </c>
      <c r="J42" s="617"/>
      <c r="K42" s="618"/>
      <c r="L42" s="618"/>
      <c r="M42" s="619"/>
      <c r="N42" s="620"/>
      <c r="O42" s="611"/>
      <c r="P42" s="611"/>
      <c r="Q42" s="611"/>
      <c r="R42" s="611"/>
    </row>
    <row r="43" spans="1:18" s="621" customFormat="1" ht="25.5" hidden="1" x14ac:dyDescent="0.2">
      <c r="A43" s="613" t="s">
        <v>1076</v>
      </c>
      <c r="B43" s="739"/>
      <c r="C43" s="742"/>
      <c r="D43" s="636"/>
      <c r="E43" s="741"/>
      <c r="F43" s="636"/>
      <c r="G43" s="636"/>
      <c r="H43" s="615">
        <f t="shared" si="4"/>
        <v>0</v>
      </c>
      <c r="I43" s="740">
        <f t="shared" si="3"/>
        <v>0</v>
      </c>
      <c r="J43" s="617"/>
      <c r="K43" s="618"/>
      <c r="L43" s="618"/>
      <c r="M43" s="619"/>
      <c r="N43" s="620"/>
      <c r="O43" s="611"/>
      <c r="P43" s="611"/>
      <c r="Q43" s="611"/>
      <c r="R43" s="611"/>
    </row>
    <row r="44" spans="1:18" s="621" customFormat="1" x14ac:dyDescent="0.2">
      <c r="A44" s="613" t="s">
        <v>1073</v>
      </c>
      <c r="B44" s="739"/>
      <c r="C44" s="742"/>
      <c r="D44" s="636"/>
      <c r="E44" s="741">
        <f>700000/1.27/1000</f>
        <v>551.18110236220468</v>
      </c>
      <c r="F44" s="636"/>
      <c r="G44" s="636"/>
      <c r="H44" s="615">
        <f t="shared" si="4"/>
        <v>148.81889763779529</v>
      </c>
      <c r="I44" s="740">
        <f t="shared" si="3"/>
        <v>700</v>
      </c>
      <c r="J44" s="617"/>
      <c r="K44" s="618"/>
      <c r="L44" s="618"/>
      <c r="M44" s="619"/>
      <c r="N44" s="620"/>
      <c r="O44" s="611"/>
      <c r="P44" s="611"/>
      <c r="Q44" s="611"/>
      <c r="R44" s="611"/>
    </row>
    <row r="45" spans="1:18" s="621" customFormat="1" x14ac:dyDescent="0.2">
      <c r="A45" s="756" t="s">
        <v>1174</v>
      </c>
      <c r="B45" s="739"/>
      <c r="C45" s="742"/>
      <c r="D45" s="636"/>
      <c r="E45" s="742"/>
      <c r="F45" s="636"/>
      <c r="G45" s="636"/>
      <c r="H45" s="615">
        <f t="shared" ref="H45" si="11">SUM(B45:E45)*0.27</f>
        <v>0</v>
      </c>
      <c r="I45" s="757">
        <f t="shared" ref="I45" si="12">SUM(B45:H45)</f>
        <v>0</v>
      </c>
      <c r="J45" s="617"/>
      <c r="K45" s="618"/>
      <c r="L45" s="618"/>
      <c r="M45" s="619"/>
      <c r="N45" s="759"/>
      <c r="O45" s="611"/>
      <c r="P45" s="611"/>
      <c r="Q45" s="611"/>
      <c r="R45" s="611"/>
    </row>
    <row r="46" spans="1:18" s="621" customFormat="1" ht="25.5" x14ac:dyDescent="0.2">
      <c r="A46" s="613" t="s">
        <v>1125</v>
      </c>
      <c r="B46" s="739"/>
      <c r="C46" s="742"/>
      <c r="D46" s="636"/>
      <c r="E46" s="742"/>
      <c r="F46" s="636"/>
      <c r="G46" s="636"/>
      <c r="H46" s="615"/>
      <c r="I46" s="740"/>
      <c r="J46" s="741">
        <f>15000000/1.27/1000</f>
        <v>11811.023622047243</v>
      </c>
      <c r="K46" s="741"/>
      <c r="L46" s="741"/>
      <c r="M46" s="741">
        <f>SUM(J46:L46)*0.27</f>
        <v>3188.9763779527561</v>
      </c>
      <c r="N46" s="740">
        <f>SUM(J46:M46)</f>
        <v>15000</v>
      </c>
      <c r="O46" s="611"/>
      <c r="P46" s="611"/>
      <c r="Q46" s="611"/>
      <c r="R46" s="611"/>
    </row>
    <row r="47" spans="1:18" s="621" customFormat="1" ht="25.5" x14ac:dyDescent="0.2">
      <c r="A47" s="613" t="s">
        <v>1088</v>
      </c>
      <c r="B47" s="739"/>
      <c r="C47" s="742"/>
      <c r="D47" s="636"/>
      <c r="E47" s="742"/>
      <c r="F47" s="636"/>
      <c r="G47" s="636"/>
      <c r="H47" s="615"/>
      <c r="I47" s="740"/>
      <c r="J47" s="741">
        <f>12000000/1.27/1000</f>
        <v>9448.8188976377951</v>
      </c>
      <c r="K47" s="741"/>
      <c r="L47" s="741"/>
      <c r="M47" s="741">
        <f>SUM(J47:L47)*0.27</f>
        <v>2551.1811023622049</v>
      </c>
      <c r="N47" s="740">
        <f>SUM(J47:M47)</f>
        <v>12000</v>
      </c>
      <c r="O47" s="611"/>
      <c r="P47" s="611"/>
      <c r="Q47" s="611"/>
      <c r="R47" s="611"/>
    </row>
    <row r="48" spans="1:18" s="621" customFormat="1" x14ac:dyDescent="0.2">
      <c r="A48" s="613" t="s">
        <v>1095</v>
      </c>
      <c r="B48" s="655"/>
      <c r="C48" s="742"/>
      <c r="D48" s="636"/>
      <c r="E48" s="742"/>
      <c r="F48" s="636"/>
      <c r="G48" s="636"/>
      <c r="H48" s="615">
        <f>SUM(B48:E48)*0.27</f>
        <v>0</v>
      </c>
      <c r="I48" s="740">
        <f>SUM(B48:H48)</f>
        <v>0</v>
      </c>
      <c r="J48" s="741">
        <f>5000000/1.27/1000</f>
        <v>3937.0078740157483</v>
      </c>
      <c r="K48" s="741"/>
      <c r="L48" s="741"/>
      <c r="M48" s="741">
        <f>SUM(J48:L48)*0.27</f>
        <v>1062.9921259842522</v>
      </c>
      <c r="N48" s="740">
        <f>SUM(J48:M48)</f>
        <v>5000</v>
      </c>
      <c r="O48" s="611"/>
      <c r="P48" s="611"/>
      <c r="Q48" s="611"/>
      <c r="R48" s="611"/>
    </row>
    <row r="49" spans="1:18" s="621" customFormat="1" x14ac:dyDescent="0.2">
      <c r="A49" s="756" t="s">
        <v>1168</v>
      </c>
      <c r="B49" s="655"/>
      <c r="C49" s="742"/>
      <c r="D49" s="636"/>
      <c r="E49" s="742"/>
      <c r="F49" s="636"/>
      <c r="G49" s="636"/>
      <c r="H49" s="615"/>
      <c r="I49" s="740"/>
      <c r="J49" s="741">
        <f>(15000-3000)/1.27</f>
        <v>9448.8188976377951</v>
      </c>
      <c r="K49" s="741"/>
      <c r="L49" s="741"/>
      <c r="M49" s="741">
        <f>SUM(J49:L49)*0.27</f>
        <v>2551.1811023622049</v>
      </c>
      <c r="N49" s="757">
        <f>SUM(J49:M49)</f>
        <v>12000</v>
      </c>
      <c r="O49" s="611"/>
      <c r="P49" s="611"/>
      <c r="Q49" s="611"/>
      <c r="R49" s="611"/>
    </row>
    <row r="50" spans="1:18" s="621" customFormat="1" ht="25.5" x14ac:dyDescent="0.2">
      <c r="A50" s="613" t="s">
        <v>1087</v>
      </c>
      <c r="B50" s="739"/>
      <c r="C50" s="742"/>
      <c r="D50" s="636"/>
      <c r="E50" s="742"/>
      <c r="F50" s="636"/>
      <c r="G50" s="636"/>
      <c r="H50" s="615"/>
      <c r="I50" s="740"/>
      <c r="J50" s="741">
        <f>10000000/1.27/1000</f>
        <v>7874.0157480314965</v>
      </c>
      <c r="K50" s="741"/>
      <c r="L50" s="741"/>
      <c r="M50" s="741">
        <f>SUM(J50:L50)*0.27</f>
        <v>2125.9842519685044</v>
      </c>
      <c r="N50" s="740">
        <f>SUM(J50:M50)</f>
        <v>10000</v>
      </c>
      <c r="O50" s="611"/>
      <c r="P50" s="611"/>
      <c r="Q50" s="611"/>
      <c r="R50" s="611"/>
    </row>
    <row r="51" spans="1:18" s="621" customFormat="1" ht="38.25" x14ac:dyDescent="0.2">
      <c r="A51" s="613" t="s">
        <v>1072</v>
      </c>
      <c r="B51" s="739"/>
      <c r="C51" s="742"/>
      <c r="D51" s="636"/>
      <c r="E51" s="742"/>
      <c r="F51" s="636"/>
      <c r="G51" s="636"/>
      <c r="H51" s="615"/>
      <c r="I51" s="740"/>
      <c r="J51" s="741">
        <f>10000000/1.27/1000</f>
        <v>7874.0157480314965</v>
      </c>
      <c r="K51" s="741"/>
      <c r="L51" s="741"/>
      <c r="M51" s="741">
        <f>+J51*0.27</f>
        <v>2125.9842519685044</v>
      </c>
      <c r="N51" s="740">
        <f>+J51+M51</f>
        <v>10000</v>
      </c>
      <c r="O51" s="611"/>
      <c r="P51" s="611"/>
      <c r="Q51" s="611"/>
      <c r="R51" s="611"/>
    </row>
    <row r="52" spans="1:18" s="621" customFormat="1" ht="45" x14ac:dyDescent="0.2">
      <c r="A52" s="613" t="s">
        <v>1177</v>
      </c>
      <c r="B52" s="739"/>
      <c r="C52" s="742"/>
      <c r="D52" s="636"/>
      <c r="E52" s="742"/>
      <c r="F52" s="636"/>
      <c r="G52" s="636"/>
      <c r="H52" s="615"/>
      <c r="I52" s="740"/>
      <c r="J52" s="741">
        <f>15000000/1.27/1000</f>
        <v>11811.023622047243</v>
      </c>
      <c r="K52" s="741"/>
      <c r="L52" s="741"/>
      <c r="M52" s="741">
        <f>SUM(J52:L52)*0.27</f>
        <v>3188.9763779527561</v>
      </c>
      <c r="N52" s="740">
        <f>SUM(J52:M52)</f>
        <v>15000</v>
      </c>
      <c r="O52" s="611"/>
      <c r="P52" s="611"/>
      <c r="Q52" s="611"/>
      <c r="R52" s="611"/>
    </row>
    <row r="53" spans="1:18" s="621" customFormat="1" x14ac:dyDescent="0.2">
      <c r="A53" s="613" t="s">
        <v>1089</v>
      </c>
      <c r="B53" s="739"/>
      <c r="C53" s="742"/>
      <c r="D53" s="636"/>
      <c r="E53" s="742"/>
      <c r="F53" s="636"/>
      <c r="G53" s="636"/>
      <c r="H53" s="615"/>
      <c r="I53" s="740"/>
      <c r="J53" s="741">
        <f>15000000/1.27/1000</f>
        <v>11811.023622047243</v>
      </c>
      <c r="K53" s="741"/>
      <c r="L53" s="741"/>
      <c r="M53" s="741">
        <f>SUM(J53:L53)*0.27</f>
        <v>3188.9763779527561</v>
      </c>
      <c r="N53" s="740">
        <f>SUM(J53:M53)</f>
        <v>15000</v>
      </c>
      <c r="O53" s="611"/>
      <c r="P53" s="611"/>
      <c r="Q53" s="611"/>
      <c r="R53" s="611"/>
    </row>
    <row r="54" spans="1:18" s="621" customFormat="1" x14ac:dyDescent="0.2">
      <c r="A54" s="756" t="s">
        <v>1165</v>
      </c>
      <c r="B54" s="739"/>
      <c r="C54" s="742"/>
      <c r="D54" s="636"/>
      <c r="E54" s="742"/>
      <c r="F54" s="636"/>
      <c r="G54" s="636"/>
      <c r="H54" s="615"/>
      <c r="I54" s="740"/>
      <c r="J54" s="741">
        <f>(15000000+10000000)/1.27/1000</f>
        <v>19685.039370078739</v>
      </c>
      <c r="K54" s="741"/>
      <c r="L54" s="741"/>
      <c r="M54" s="741">
        <f>SUM(J54:L54)*0.27</f>
        <v>5314.9606299212601</v>
      </c>
      <c r="N54" s="757">
        <f>SUM(J54:M54)</f>
        <v>25000</v>
      </c>
      <c r="O54" s="611"/>
      <c r="P54" s="611"/>
      <c r="Q54" s="611"/>
      <c r="R54" s="611"/>
    </row>
    <row r="55" spans="1:18" s="621" customFormat="1" x14ac:dyDescent="0.2">
      <c r="A55" s="613" t="s">
        <v>1090</v>
      </c>
      <c r="B55" s="739"/>
      <c r="C55" s="742"/>
      <c r="D55" s="636"/>
      <c r="E55" s="742"/>
      <c r="F55" s="636"/>
      <c r="G55" s="636"/>
      <c r="H55" s="615"/>
      <c r="I55" s="740"/>
      <c r="J55" s="741">
        <f>10000000/1.27/1000</f>
        <v>7874.0157480314965</v>
      </c>
      <c r="K55" s="741"/>
      <c r="L55" s="741"/>
      <c r="M55" s="741">
        <f>SUM(J55:L55)*0.27</f>
        <v>2125.9842519685044</v>
      </c>
      <c r="N55" s="740">
        <f>SUM(J55:M55)</f>
        <v>10000</v>
      </c>
      <c r="O55" s="611"/>
      <c r="P55" s="611"/>
      <c r="Q55" s="611"/>
      <c r="R55" s="611"/>
    </row>
    <row r="56" spans="1:18" s="621" customFormat="1" ht="25.5" x14ac:dyDescent="0.2">
      <c r="A56" s="613" t="s">
        <v>1069</v>
      </c>
      <c r="B56" s="739"/>
      <c r="C56" s="742"/>
      <c r="D56" s="636"/>
      <c r="E56" s="742"/>
      <c r="F56" s="636"/>
      <c r="G56" s="636"/>
      <c r="H56" s="615"/>
      <c r="I56" s="740"/>
      <c r="J56" s="741">
        <f>15000000/1.27/1000</f>
        <v>11811.023622047243</v>
      </c>
      <c r="K56" s="741"/>
      <c r="L56" s="741"/>
      <c r="M56" s="741">
        <f>+J56*0.27</f>
        <v>3188.9763779527561</v>
      </c>
      <c r="N56" s="740">
        <f>+J56+M56</f>
        <v>15000</v>
      </c>
      <c r="O56" s="611"/>
      <c r="P56" s="611"/>
      <c r="Q56" s="611"/>
      <c r="R56" s="611"/>
    </row>
    <row r="57" spans="1:18" s="782" customFormat="1" ht="25.5" x14ac:dyDescent="0.2">
      <c r="A57" s="613" t="s">
        <v>1221</v>
      </c>
      <c r="B57" s="775"/>
      <c r="C57" s="776"/>
      <c r="D57" s="777"/>
      <c r="E57" s="776"/>
      <c r="F57" s="777"/>
      <c r="G57" s="777"/>
      <c r="H57" s="778"/>
      <c r="I57" s="779"/>
      <c r="J57" s="741">
        <f>40000000/1.27/1000</f>
        <v>31496.062992125986</v>
      </c>
      <c r="K57" s="741"/>
      <c r="L57" s="741"/>
      <c r="M57" s="741">
        <f t="shared" ref="M57:M66" si="13">SUM(J57:L57)*0.27</f>
        <v>8503.9370078740176</v>
      </c>
      <c r="N57" s="740">
        <f t="shared" ref="N57:N67" si="14">SUM(J57:M57)</f>
        <v>40000</v>
      </c>
      <c r="O57" s="781"/>
      <c r="P57" s="781"/>
      <c r="Q57" s="781"/>
      <c r="R57" s="781"/>
    </row>
    <row r="58" spans="1:18" s="782" customFormat="1" hidden="1" x14ac:dyDescent="0.2">
      <c r="A58" s="783"/>
      <c r="B58" s="775"/>
      <c r="C58" s="776"/>
      <c r="D58" s="777"/>
      <c r="E58" s="776"/>
      <c r="F58" s="777"/>
      <c r="G58" s="777"/>
      <c r="H58" s="778"/>
      <c r="I58" s="779"/>
      <c r="J58" s="780"/>
      <c r="K58" s="780"/>
      <c r="L58" s="780"/>
      <c r="M58" s="780"/>
      <c r="N58" s="784"/>
      <c r="O58" s="781"/>
      <c r="P58" s="781"/>
      <c r="Q58" s="781"/>
      <c r="R58" s="781"/>
    </row>
    <row r="59" spans="1:18" s="621" customFormat="1" x14ac:dyDescent="0.2">
      <c r="A59" s="613" t="s">
        <v>1086</v>
      </c>
      <c r="B59" s="739"/>
      <c r="C59" s="742"/>
      <c r="D59" s="636"/>
      <c r="E59" s="742"/>
      <c r="F59" s="636"/>
      <c r="G59" s="636"/>
      <c r="H59" s="615"/>
      <c r="I59" s="740"/>
      <c r="J59" s="741">
        <f>4000000/1.27/1000</f>
        <v>3149.6062992125981</v>
      </c>
      <c r="K59" s="741"/>
      <c r="L59" s="741"/>
      <c r="M59" s="741">
        <f t="shared" si="13"/>
        <v>850.39370078740149</v>
      </c>
      <c r="N59" s="740">
        <f t="shared" si="14"/>
        <v>3999.9999999999995</v>
      </c>
      <c r="O59" s="611"/>
      <c r="P59" s="611"/>
      <c r="Q59" s="611"/>
      <c r="R59" s="611"/>
    </row>
    <row r="60" spans="1:18" s="621" customFormat="1" x14ac:dyDescent="0.2">
      <c r="A60" s="756" t="s">
        <v>1164</v>
      </c>
      <c r="B60" s="643"/>
      <c r="C60" s="742"/>
      <c r="D60" s="636"/>
      <c r="E60" s="742"/>
      <c r="F60" s="636"/>
      <c r="G60" s="636"/>
      <c r="H60" s="615"/>
      <c r="I60" s="740"/>
      <c r="J60" s="741">
        <f>(10000-2000)/1.27</f>
        <v>6299.212598425197</v>
      </c>
      <c r="K60" s="741"/>
      <c r="L60" s="741"/>
      <c r="M60" s="741">
        <f t="shared" ref="M60" si="15">SUM(J60:L60)*0.27</f>
        <v>1700.7874015748032</v>
      </c>
      <c r="N60" s="757">
        <f t="shared" ref="N60" si="16">SUM(J60:M60)</f>
        <v>8000</v>
      </c>
      <c r="O60" s="611"/>
      <c r="P60" s="611"/>
      <c r="Q60" s="611"/>
      <c r="R60" s="611"/>
    </row>
    <row r="61" spans="1:18" s="621" customFormat="1" x14ac:dyDescent="0.2">
      <c r="A61" s="756" t="s">
        <v>1171</v>
      </c>
      <c r="B61" s="643"/>
      <c r="C61" s="742"/>
      <c r="D61" s="636"/>
      <c r="E61" s="742"/>
      <c r="F61" s="636"/>
      <c r="G61" s="636"/>
      <c r="H61" s="615"/>
      <c r="I61" s="740"/>
      <c r="J61" s="741">
        <f>20000/1.27</f>
        <v>15748.031496062991</v>
      </c>
      <c r="K61" s="741"/>
      <c r="L61" s="741"/>
      <c r="M61" s="741">
        <f t="shared" ref="M61" si="17">SUM(J61:L61)*0.27</f>
        <v>4251.9685039370079</v>
      </c>
      <c r="N61" s="757">
        <f t="shared" ref="N61" si="18">SUM(J61:M61)</f>
        <v>20000</v>
      </c>
      <c r="O61" s="611"/>
      <c r="P61" s="611"/>
      <c r="Q61" s="611"/>
      <c r="R61" s="611"/>
    </row>
    <row r="62" spans="1:18" s="621" customFormat="1" ht="25.5" x14ac:dyDescent="0.2">
      <c r="A62" s="613" t="s">
        <v>1223</v>
      </c>
      <c r="B62" s="636"/>
      <c r="C62" s="742"/>
      <c r="D62" s="636"/>
      <c r="E62" s="742"/>
      <c r="F62" s="636"/>
      <c r="G62" s="636"/>
      <c r="H62" s="615"/>
      <c r="I62" s="740"/>
      <c r="J62" s="741">
        <f>(750000000-450000000-280000000)/1.27/1000</f>
        <v>15748.031496062993</v>
      </c>
      <c r="K62" s="741"/>
      <c r="L62" s="741"/>
      <c r="M62" s="741">
        <f t="shared" si="13"/>
        <v>4251.9685039370088</v>
      </c>
      <c r="N62" s="757">
        <f t="shared" si="14"/>
        <v>20000</v>
      </c>
      <c r="O62" s="611"/>
      <c r="P62" s="611"/>
      <c r="Q62" s="611"/>
      <c r="R62" s="611"/>
    </row>
    <row r="63" spans="1:18" s="621" customFormat="1" ht="25.5" x14ac:dyDescent="0.2">
      <c r="A63" s="613" t="s">
        <v>1124</v>
      </c>
      <c r="B63" s="739"/>
      <c r="C63" s="742"/>
      <c r="D63" s="636"/>
      <c r="E63" s="742"/>
      <c r="F63" s="636"/>
      <c r="G63" s="636"/>
      <c r="H63" s="615"/>
      <c r="I63" s="740"/>
      <c r="J63" s="741">
        <f>4400/1.27</f>
        <v>3464.5669291338581</v>
      </c>
      <c r="K63" s="741"/>
      <c r="L63" s="741"/>
      <c r="M63" s="741">
        <f t="shared" si="13"/>
        <v>935.43307086614175</v>
      </c>
      <c r="N63" s="740">
        <f t="shared" si="14"/>
        <v>4400</v>
      </c>
      <c r="O63" s="611"/>
      <c r="P63" s="611"/>
      <c r="Q63" s="611"/>
      <c r="R63" s="611"/>
    </row>
    <row r="64" spans="1:18" s="621" customFormat="1" x14ac:dyDescent="0.2">
      <c r="A64" s="613" t="s">
        <v>1094</v>
      </c>
      <c r="B64" s="739"/>
      <c r="C64" s="742"/>
      <c r="D64" s="636"/>
      <c r="E64" s="742"/>
      <c r="F64" s="636"/>
      <c r="G64" s="636"/>
      <c r="H64" s="615"/>
      <c r="I64" s="740"/>
      <c r="J64" s="741">
        <f>250000000/2/1.27/1000</f>
        <v>98425.196850393695</v>
      </c>
      <c r="K64" s="741"/>
      <c r="L64" s="741"/>
      <c r="M64" s="741">
        <f t="shared" si="13"/>
        <v>26574.803149606298</v>
      </c>
      <c r="N64" s="740">
        <f t="shared" si="14"/>
        <v>125000</v>
      </c>
      <c r="O64" s="611"/>
      <c r="P64" s="611"/>
      <c r="Q64" s="611"/>
      <c r="R64" s="611"/>
    </row>
    <row r="65" spans="1:18" s="621" customFormat="1" x14ac:dyDescent="0.2">
      <c r="A65" s="613" t="s">
        <v>1093</v>
      </c>
      <c r="B65" s="739"/>
      <c r="C65" s="742"/>
      <c r="D65" s="636"/>
      <c r="E65" s="742"/>
      <c r="F65" s="636"/>
      <c r="G65" s="636"/>
      <c r="H65" s="615"/>
      <c r="I65" s="740"/>
      <c r="J65" s="741">
        <f>10000000/1.27/1000</f>
        <v>7874.0157480314965</v>
      </c>
      <c r="K65" s="741"/>
      <c r="L65" s="741"/>
      <c r="M65" s="741">
        <f t="shared" si="13"/>
        <v>2125.9842519685044</v>
      </c>
      <c r="N65" s="740">
        <f t="shared" si="14"/>
        <v>10000</v>
      </c>
      <c r="O65" s="611"/>
      <c r="P65" s="611"/>
      <c r="Q65" s="611"/>
      <c r="R65" s="611"/>
    </row>
    <row r="66" spans="1:18" s="621" customFormat="1" ht="13.5" thickBot="1" x14ac:dyDescent="0.25">
      <c r="A66" s="613" t="s">
        <v>1091</v>
      </c>
      <c r="B66" s="739"/>
      <c r="C66" s="742"/>
      <c r="D66" s="636"/>
      <c r="E66" s="742"/>
      <c r="F66" s="636"/>
      <c r="G66" s="636"/>
      <c r="H66" s="615"/>
      <c r="I66" s="740"/>
      <c r="J66" s="741">
        <f>25000000/1.27/1000</f>
        <v>19685.039370078739</v>
      </c>
      <c r="K66" s="741"/>
      <c r="L66" s="741"/>
      <c r="M66" s="741">
        <f t="shared" si="13"/>
        <v>5314.9606299212601</v>
      </c>
      <c r="N66" s="740">
        <f t="shared" si="14"/>
        <v>25000</v>
      </c>
      <c r="O66" s="611"/>
      <c r="P66" s="611"/>
      <c r="Q66" s="611"/>
      <c r="R66" s="611"/>
    </row>
    <row r="67" spans="1:18" s="621" customFormat="1" ht="29.25" customHeight="1" thickTop="1" x14ac:dyDescent="0.2">
      <c r="A67" s="625" t="s">
        <v>43</v>
      </c>
      <c r="B67" s="626">
        <f>SUM(B68:B77)</f>
        <v>9449</v>
      </c>
      <c r="C67" s="626">
        <f>SUM(C68:C77)</f>
        <v>0</v>
      </c>
      <c r="D67" s="626">
        <f>SUM(D68:D77)</f>
        <v>5000</v>
      </c>
      <c r="E67" s="626">
        <f>SUM(E68:E77)</f>
        <v>17511.992125984252</v>
      </c>
      <c r="F67" s="626">
        <f t="shared" ref="F67:G67" si="19">SUM(F68:F69)</f>
        <v>0</v>
      </c>
      <c r="G67" s="626">
        <f t="shared" si="19"/>
        <v>0</v>
      </c>
      <c r="H67" s="626">
        <f>SUM(H68:H77)</f>
        <v>8629</v>
      </c>
      <c r="I67" s="627">
        <f t="shared" ref="I67:I107" si="20">SUM(B67:H67)</f>
        <v>40589.992125984252</v>
      </c>
      <c r="J67" s="628">
        <f>SUM(J68:J77)</f>
        <v>5000</v>
      </c>
      <c r="K67" s="628">
        <f t="shared" ref="K67:M67" si="21">SUM(K68:K77)</f>
        <v>15000</v>
      </c>
      <c r="L67" s="628">
        <f t="shared" si="21"/>
        <v>5000</v>
      </c>
      <c r="M67" s="628">
        <f t="shared" si="21"/>
        <v>6750</v>
      </c>
      <c r="N67" s="629">
        <f t="shared" si="14"/>
        <v>31750</v>
      </c>
    </row>
    <row r="68" spans="1:18" x14ac:dyDescent="0.2">
      <c r="A68" s="622" t="s">
        <v>1096</v>
      </c>
      <c r="B68" s="630">
        <v>9449</v>
      </c>
      <c r="C68" s="631"/>
      <c r="D68" s="631"/>
      <c r="E68" s="631"/>
      <c r="F68" s="631"/>
      <c r="G68" s="631"/>
      <c r="H68" s="632">
        <v>2551</v>
      </c>
      <c r="I68" s="616">
        <f t="shared" si="20"/>
        <v>12000</v>
      </c>
      <c r="J68" s="633"/>
      <c r="K68" s="631"/>
      <c r="L68" s="631"/>
      <c r="M68" s="631"/>
      <c r="N68" s="610"/>
      <c r="O68" s="624"/>
      <c r="P68" s="624"/>
    </row>
    <row r="69" spans="1:18" x14ac:dyDescent="0.2">
      <c r="A69" s="622" t="s">
        <v>1107</v>
      </c>
      <c r="B69" s="635"/>
      <c r="C69" s="615"/>
      <c r="D69" s="615"/>
      <c r="E69" s="615">
        <v>9449</v>
      </c>
      <c r="F69" s="615"/>
      <c r="G69" s="615"/>
      <c r="H69" s="632">
        <v>2551</v>
      </c>
      <c r="I69" s="616">
        <f t="shared" si="20"/>
        <v>12000</v>
      </c>
      <c r="J69" s="635"/>
      <c r="K69" s="635"/>
      <c r="L69" s="635"/>
      <c r="M69" s="635"/>
      <c r="N69" s="610"/>
      <c r="O69" s="624"/>
      <c r="P69" s="624"/>
    </row>
    <row r="70" spans="1:18" ht="38.25" x14ac:dyDescent="0.2">
      <c r="A70" s="745" t="s">
        <v>1233</v>
      </c>
      <c r="B70" s="635"/>
      <c r="C70" s="615"/>
      <c r="D70" s="615"/>
      <c r="E70" s="615">
        <f>1350/1.27</f>
        <v>1062.992125984252</v>
      </c>
      <c r="F70" s="615"/>
      <c r="G70" s="615"/>
      <c r="H70" s="636">
        <f>1350-1063</f>
        <v>287</v>
      </c>
      <c r="I70" s="616">
        <f t="shared" si="20"/>
        <v>1349.992125984252</v>
      </c>
      <c r="J70" s="635"/>
      <c r="K70" s="635"/>
      <c r="L70" s="635"/>
      <c r="M70" s="635"/>
      <c r="N70" s="610"/>
      <c r="O70" s="624"/>
      <c r="P70" s="624"/>
    </row>
    <row r="71" spans="1:18" hidden="1" x14ac:dyDescent="0.2">
      <c r="A71" s="745" t="s">
        <v>1110</v>
      </c>
      <c r="B71" s="635"/>
      <c r="C71" s="615"/>
      <c r="D71" s="615"/>
      <c r="E71" s="615"/>
      <c r="F71" s="615"/>
      <c r="G71" s="615"/>
      <c r="H71" s="636">
        <f>+C71*0.27</f>
        <v>0</v>
      </c>
      <c r="I71" s="616">
        <f t="shared" ref="I71:I73" si="22">SUM(B71:H71)</f>
        <v>0</v>
      </c>
      <c r="J71" s="635"/>
      <c r="K71" s="635"/>
      <c r="L71" s="635"/>
      <c r="M71" s="635"/>
      <c r="N71" s="610"/>
      <c r="O71" s="624"/>
      <c r="P71" s="624"/>
    </row>
    <row r="72" spans="1:18" x14ac:dyDescent="0.2">
      <c r="A72" s="745" t="s">
        <v>1111</v>
      </c>
      <c r="B72" s="635"/>
      <c r="C72" s="615"/>
      <c r="D72" s="615">
        <f>-1000+6000</f>
        <v>5000</v>
      </c>
      <c r="E72" s="615"/>
      <c r="F72" s="615"/>
      <c r="G72" s="615"/>
      <c r="H72" s="636">
        <f>+D72*0.27</f>
        <v>1350</v>
      </c>
      <c r="I72" s="616">
        <f t="shared" si="22"/>
        <v>6350</v>
      </c>
      <c r="J72" s="635"/>
      <c r="K72" s="635"/>
      <c r="L72" s="635"/>
      <c r="M72" s="635"/>
      <c r="N72" s="610"/>
      <c r="O72" s="624"/>
      <c r="P72" s="624"/>
    </row>
    <row r="73" spans="1:18" x14ac:dyDescent="0.2">
      <c r="A73" s="745" t="s">
        <v>1112</v>
      </c>
      <c r="B73" s="635"/>
      <c r="C73" s="615"/>
      <c r="D73" s="615"/>
      <c r="E73" s="615">
        <f>-3000+10000</f>
        <v>7000</v>
      </c>
      <c r="F73" s="615"/>
      <c r="G73" s="615"/>
      <c r="H73" s="636">
        <f>+E73*0.27</f>
        <v>1890.0000000000002</v>
      </c>
      <c r="I73" s="616">
        <f t="shared" si="22"/>
        <v>8890</v>
      </c>
      <c r="J73" s="635"/>
      <c r="K73" s="635"/>
      <c r="L73" s="635"/>
      <c r="M73" s="635"/>
      <c r="N73" s="610"/>
      <c r="O73" s="624"/>
      <c r="P73" s="624"/>
    </row>
    <row r="74" spans="1:18" x14ac:dyDescent="0.2">
      <c r="A74" s="745" t="s">
        <v>1113</v>
      </c>
      <c r="B74" s="635"/>
      <c r="C74" s="615"/>
      <c r="D74" s="615"/>
      <c r="E74" s="615"/>
      <c r="F74" s="615"/>
      <c r="G74" s="615"/>
      <c r="H74" s="636"/>
      <c r="I74" s="607"/>
      <c r="J74" s="635">
        <v>5000</v>
      </c>
      <c r="K74" s="635"/>
      <c r="L74" s="635"/>
      <c r="M74" s="635">
        <f>+J74*0.27</f>
        <v>1350</v>
      </c>
      <c r="N74" s="610">
        <f t="shared" ref="N74:N75" si="23">SUM(J74:M74)</f>
        <v>6350</v>
      </c>
      <c r="O74" s="624"/>
      <c r="P74" s="624"/>
    </row>
    <row r="75" spans="1:18" x14ac:dyDescent="0.2">
      <c r="A75" s="745" t="s">
        <v>1114</v>
      </c>
      <c r="B75" s="635"/>
      <c r="C75" s="615"/>
      <c r="D75" s="615"/>
      <c r="E75" s="615"/>
      <c r="F75" s="615"/>
      <c r="G75" s="615"/>
      <c r="H75" s="636"/>
      <c r="I75" s="607"/>
      <c r="J75" s="635"/>
      <c r="K75" s="635">
        <v>15000</v>
      </c>
      <c r="L75" s="635"/>
      <c r="M75" s="635">
        <f>+K75*0.27</f>
        <v>4050.0000000000005</v>
      </c>
      <c r="N75" s="610">
        <f t="shared" si="23"/>
        <v>19050</v>
      </c>
      <c r="O75" s="624"/>
      <c r="P75" s="624"/>
    </row>
    <row r="76" spans="1:18" x14ac:dyDescent="0.2">
      <c r="A76" s="745" t="s">
        <v>1115</v>
      </c>
      <c r="B76" s="635"/>
      <c r="C76" s="615"/>
      <c r="D76" s="615"/>
      <c r="E76" s="615"/>
      <c r="F76" s="615"/>
      <c r="G76" s="615"/>
      <c r="H76" s="636"/>
      <c r="I76" s="607"/>
      <c r="J76" s="635"/>
      <c r="K76" s="635"/>
      <c r="L76" s="635">
        <v>5000</v>
      </c>
      <c r="M76" s="635">
        <f>+L76*0.27</f>
        <v>1350</v>
      </c>
      <c r="N76" s="610">
        <f>SUM(J76:M76)</f>
        <v>6350</v>
      </c>
      <c r="O76" s="624"/>
      <c r="P76" s="624"/>
    </row>
    <row r="77" spans="1:18" ht="13.5" thickBot="1" x14ac:dyDescent="0.25">
      <c r="A77" s="745"/>
      <c r="B77" s="635"/>
      <c r="C77" s="615"/>
      <c r="D77" s="615"/>
      <c r="E77" s="615"/>
      <c r="F77" s="615"/>
      <c r="G77" s="615"/>
      <c r="H77" s="636"/>
      <c r="I77" s="607"/>
      <c r="J77" s="635"/>
      <c r="K77" s="635"/>
      <c r="L77" s="635"/>
      <c r="M77" s="635"/>
      <c r="N77" s="610"/>
      <c r="O77" s="624"/>
      <c r="P77" s="624"/>
    </row>
    <row r="78" spans="1:18" s="621" customFormat="1" ht="29.25" customHeight="1" thickTop="1" x14ac:dyDescent="0.2">
      <c r="A78" s="637" t="s">
        <v>44</v>
      </c>
      <c r="B78" s="626">
        <f t="shared" ref="B78:H78" si="24">SUM(B79:B107)</f>
        <v>0</v>
      </c>
      <c r="C78" s="626">
        <f t="shared" si="24"/>
        <v>0</v>
      </c>
      <c r="D78" s="626">
        <f t="shared" si="24"/>
        <v>0</v>
      </c>
      <c r="E78" s="626">
        <f t="shared" si="24"/>
        <v>0</v>
      </c>
      <c r="F78" s="626">
        <f t="shared" si="24"/>
        <v>0</v>
      </c>
      <c r="G78" s="626">
        <f t="shared" si="24"/>
        <v>0</v>
      </c>
      <c r="H78" s="626">
        <f t="shared" si="24"/>
        <v>0</v>
      </c>
      <c r="I78" s="627">
        <v>1270</v>
      </c>
      <c r="J78" s="628">
        <f>SUM(J79:J107)</f>
        <v>0</v>
      </c>
      <c r="K78" s="628">
        <f>SUM(K79:K107)</f>
        <v>0</v>
      </c>
      <c r="L78" s="628">
        <f>SUM(L79:L107)</f>
        <v>0</v>
      </c>
      <c r="M78" s="628">
        <f>SUM(M79:M107)</f>
        <v>0</v>
      </c>
      <c r="N78" s="629">
        <f>SUM(J78:M78)</f>
        <v>0</v>
      </c>
    </row>
    <row r="79" spans="1:18" hidden="1" x14ac:dyDescent="0.2">
      <c r="A79" s="638" t="s">
        <v>157</v>
      </c>
      <c r="B79" s="639"/>
      <c r="C79" s="608"/>
      <c r="D79" s="608"/>
      <c r="F79" s="608"/>
      <c r="G79" s="608"/>
      <c r="I79" s="616">
        <f t="shared" si="20"/>
        <v>0</v>
      </c>
      <c r="J79" s="640"/>
      <c r="N79" s="610">
        <f>SUM(J79:M79)</f>
        <v>0</v>
      </c>
    </row>
    <row r="80" spans="1:18" hidden="1" x14ac:dyDescent="0.2">
      <c r="A80" s="641" t="s">
        <v>158</v>
      </c>
      <c r="B80" s="609"/>
      <c r="C80" s="606"/>
      <c r="D80" s="606"/>
      <c r="E80" s="636"/>
      <c r="F80" s="606"/>
      <c r="G80" s="606"/>
      <c r="H80" s="636"/>
      <c r="I80" s="616">
        <f t="shared" si="20"/>
        <v>0</v>
      </c>
      <c r="J80" s="642"/>
      <c r="M80" s="643"/>
      <c r="N80" s="610">
        <f t="shared" ref="N80:N107" si="25">SUM(J80:M80)</f>
        <v>0</v>
      </c>
    </row>
    <row r="81" spans="1:14" hidden="1" x14ac:dyDescent="0.2">
      <c r="A81" s="641" t="s">
        <v>159</v>
      </c>
      <c r="B81" s="609"/>
      <c r="C81" s="606"/>
      <c r="D81" s="606"/>
      <c r="E81" s="636"/>
      <c r="F81" s="606"/>
      <c r="G81" s="606"/>
      <c r="H81" s="636"/>
      <c r="I81" s="616">
        <f t="shared" si="20"/>
        <v>0</v>
      </c>
      <c r="J81" s="642"/>
      <c r="N81" s="610">
        <f t="shared" si="25"/>
        <v>0</v>
      </c>
    </row>
    <row r="82" spans="1:14" hidden="1" x14ac:dyDescent="0.2">
      <c r="A82" s="641" t="s">
        <v>160</v>
      </c>
      <c r="B82" s="609"/>
      <c r="C82" s="606"/>
      <c r="D82" s="606"/>
      <c r="E82" s="636"/>
      <c r="F82" s="606"/>
      <c r="G82" s="606"/>
      <c r="H82" s="636"/>
      <c r="I82" s="616">
        <f t="shared" si="20"/>
        <v>0</v>
      </c>
      <c r="J82" s="642"/>
      <c r="N82" s="610">
        <f t="shared" si="25"/>
        <v>0</v>
      </c>
    </row>
    <row r="83" spans="1:14" hidden="1" x14ac:dyDescent="0.2">
      <c r="A83" s="641" t="s">
        <v>161</v>
      </c>
      <c r="B83" s="609"/>
      <c r="C83" s="606"/>
      <c r="D83" s="606"/>
      <c r="E83" s="636"/>
      <c r="F83" s="606"/>
      <c r="G83" s="606"/>
      <c r="H83" s="636"/>
      <c r="I83" s="616">
        <f t="shared" si="20"/>
        <v>0</v>
      </c>
      <c r="J83" s="642"/>
      <c r="N83" s="610">
        <f t="shared" si="25"/>
        <v>0</v>
      </c>
    </row>
    <row r="84" spans="1:14" hidden="1" x14ac:dyDescent="0.2">
      <c r="A84" s="644" t="s">
        <v>162</v>
      </c>
      <c r="B84" s="609"/>
      <c r="C84" s="606"/>
      <c r="D84" s="606"/>
      <c r="E84" s="636"/>
      <c r="F84" s="606"/>
      <c r="G84" s="606"/>
      <c r="H84" s="636"/>
      <c r="I84" s="616"/>
      <c r="J84" s="642"/>
      <c r="M84" s="643"/>
      <c r="N84" s="610"/>
    </row>
    <row r="85" spans="1:14" hidden="1" x14ac:dyDescent="0.2">
      <c r="A85" s="641" t="s">
        <v>163</v>
      </c>
      <c r="B85" s="609"/>
      <c r="C85" s="606"/>
      <c r="D85" s="606"/>
      <c r="E85" s="636"/>
      <c r="F85" s="606"/>
      <c r="G85" s="606"/>
      <c r="H85" s="636"/>
      <c r="I85" s="616">
        <f t="shared" si="20"/>
        <v>0</v>
      </c>
      <c r="J85" s="642"/>
      <c r="M85" s="643"/>
      <c r="N85" s="610">
        <f t="shared" si="25"/>
        <v>0</v>
      </c>
    </row>
    <row r="86" spans="1:14" hidden="1" x14ac:dyDescent="0.2">
      <c r="A86" s="641" t="s">
        <v>164</v>
      </c>
      <c r="B86" s="609"/>
      <c r="C86" s="606"/>
      <c r="D86" s="606"/>
      <c r="E86" s="636"/>
      <c r="F86" s="606"/>
      <c r="G86" s="606"/>
      <c r="H86" s="636"/>
      <c r="I86" s="616">
        <f t="shared" si="20"/>
        <v>0</v>
      </c>
      <c r="J86" s="642"/>
      <c r="M86" s="643"/>
      <c r="N86" s="610">
        <f t="shared" si="25"/>
        <v>0</v>
      </c>
    </row>
    <row r="87" spans="1:14" hidden="1" x14ac:dyDescent="0.2">
      <c r="A87" s="641" t="s">
        <v>165</v>
      </c>
      <c r="B87" s="609"/>
      <c r="C87" s="606"/>
      <c r="D87" s="606"/>
      <c r="E87" s="636"/>
      <c r="F87" s="606"/>
      <c r="G87" s="606"/>
      <c r="H87" s="636"/>
      <c r="I87" s="616">
        <f t="shared" si="20"/>
        <v>0</v>
      </c>
      <c r="J87" s="642"/>
      <c r="M87" s="643"/>
      <c r="N87" s="610">
        <f t="shared" si="25"/>
        <v>0</v>
      </c>
    </row>
    <row r="88" spans="1:14" hidden="1" x14ac:dyDescent="0.2">
      <c r="A88" s="641" t="s">
        <v>166</v>
      </c>
      <c r="B88" s="609"/>
      <c r="C88" s="606"/>
      <c r="D88" s="606"/>
      <c r="E88" s="636"/>
      <c r="F88" s="606"/>
      <c r="G88" s="606"/>
      <c r="H88" s="636"/>
      <c r="I88" s="616">
        <f t="shared" si="20"/>
        <v>0</v>
      </c>
      <c r="J88" s="642"/>
      <c r="M88" s="643"/>
      <c r="N88" s="610">
        <f t="shared" si="25"/>
        <v>0</v>
      </c>
    </row>
    <row r="89" spans="1:14" ht="25.5" hidden="1" x14ac:dyDescent="0.2">
      <c r="A89" s="641" t="s">
        <v>167</v>
      </c>
      <c r="B89" s="609"/>
      <c r="C89" s="606"/>
      <c r="D89" s="606"/>
      <c r="E89" s="636"/>
      <c r="F89" s="606"/>
      <c r="G89" s="606"/>
      <c r="H89" s="636"/>
      <c r="I89" s="616">
        <f t="shared" si="20"/>
        <v>0</v>
      </c>
      <c r="J89" s="642"/>
      <c r="M89" s="643"/>
      <c r="N89" s="610">
        <f t="shared" si="25"/>
        <v>0</v>
      </c>
    </row>
    <row r="90" spans="1:14" hidden="1" x14ac:dyDescent="0.2">
      <c r="A90" s="641" t="s">
        <v>168</v>
      </c>
      <c r="B90" s="609"/>
      <c r="C90" s="606"/>
      <c r="D90" s="606"/>
      <c r="E90" s="636"/>
      <c r="F90" s="606"/>
      <c r="G90" s="606"/>
      <c r="H90" s="636"/>
      <c r="I90" s="616">
        <f t="shared" si="20"/>
        <v>0</v>
      </c>
      <c r="J90" s="642"/>
      <c r="M90" s="643"/>
      <c r="N90" s="610">
        <f t="shared" si="25"/>
        <v>0</v>
      </c>
    </row>
    <row r="91" spans="1:14" hidden="1" x14ac:dyDescent="0.2">
      <c r="A91" s="641" t="s">
        <v>182</v>
      </c>
      <c r="B91" s="609"/>
      <c r="C91" s="606"/>
      <c r="D91" s="606"/>
      <c r="E91" s="636"/>
      <c r="F91" s="606"/>
      <c r="G91" s="606"/>
      <c r="H91" s="636"/>
      <c r="I91" s="616">
        <f t="shared" si="20"/>
        <v>0</v>
      </c>
      <c r="J91" s="642"/>
      <c r="M91" s="643"/>
      <c r="N91" s="610">
        <f t="shared" si="25"/>
        <v>0</v>
      </c>
    </row>
    <row r="92" spans="1:14" hidden="1" x14ac:dyDescent="0.2">
      <c r="A92" s="641" t="s">
        <v>169</v>
      </c>
      <c r="B92" s="609"/>
      <c r="C92" s="606"/>
      <c r="D92" s="606"/>
      <c r="E92" s="636"/>
      <c r="F92" s="606"/>
      <c r="G92" s="606"/>
      <c r="H92" s="636"/>
      <c r="I92" s="616">
        <f t="shared" si="20"/>
        <v>0</v>
      </c>
      <c r="J92" s="642"/>
      <c r="M92" s="643"/>
      <c r="N92" s="610">
        <f t="shared" si="25"/>
        <v>0</v>
      </c>
    </row>
    <row r="93" spans="1:14" hidden="1" x14ac:dyDescent="0.2">
      <c r="A93" s="641" t="s">
        <v>170</v>
      </c>
      <c r="B93" s="609"/>
      <c r="C93" s="606"/>
      <c r="D93" s="606"/>
      <c r="E93" s="636"/>
      <c r="F93" s="606"/>
      <c r="G93" s="606"/>
      <c r="H93" s="636"/>
      <c r="I93" s="616">
        <f t="shared" si="20"/>
        <v>0</v>
      </c>
      <c r="J93" s="642"/>
      <c r="M93" s="643"/>
      <c r="N93" s="610">
        <f t="shared" si="25"/>
        <v>0</v>
      </c>
    </row>
    <row r="94" spans="1:14" ht="25.5" hidden="1" x14ac:dyDescent="0.2">
      <c r="A94" s="641" t="s">
        <v>171</v>
      </c>
      <c r="B94" s="609"/>
      <c r="C94" s="606"/>
      <c r="D94" s="606"/>
      <c r="E94" s="636"/>
      <c r="F94" s="606"/>
      <c r="G94" s="606"/>
      <c r="H94" s="636"/>
      <c r="I94" s="616">
        <f t="shared" si="20"/>
        <v>0</v>
      </c>
      <c r="J94" s="642"/>
      <c r="M94" s="643"/>
      <c r="N94" s="610">
        <f t="shared" si="25"/>
        <v>0</v>
      </c>
    </row>
    <row r="95" spans="1:14" hidden="1" x14ac:dyDescent="0.2">
      <c r="A95" s="641" t="s">
        <v>172</v>
      </c>
      <c r="B95" s="609"/>
      <c r="C95" s="606"/>
      <c r="D95" s="606"/>
      <c r="E95" s="636"/>
      <c r="F95" s="606"/>
      <c r="G95" s="606"/>
      <c r="H95" s="636"/>
      <c r="I95" s="616">
        <f t="shared" si="20"/>
        <v>0</v>
      </c>
      <c r="J95" s="642"/>
      <c r="M95" s="643"/>
      <c r="N95" s="610">
        <f t="shared" si="25"/>
        <v>0</v>
      </c>
    </row>
    <row r="96" spans="1:14" hidden="1" x14ac:dyDescent="0.2">
      <c r="A96" s="641" t="s">
        <v>173</v>
      </c>
      <c r="B96" s="609"/>
      <c r="C96" s="606"/>
      <c r="D96" s="606"/>
      <c r="E96" s="636"/>
      <c r="F96" s="606"/>
      <c r="G96" s="606"/>
      <c r="H96" s="636"/>
      <c r="I96" s="616">
        <f t="shared" si="20"/>
        <v>0</v>
      </c>
      <c r="J96" s="642"/>
      <c r="M96" s="643"/>
      <c r="N96" s="610">
        <f t="shared" si="25"/>
        <v>0</v>
      </c>
    </row>
    <row r="97" spans="1:14" hidden="1" x14ac:dyDescent="0.2">
      <c r="A97" s="641" t="s">
        <v>174</v>
      </c>
      <c r="B97" s="609"/>
      <c r="C97" s="606"/>
      <c r="D97" s="606"/>
      <c r="E97" s="636"/>
      <c r="F97" s="606"/>
      <c r="G97" s="606"/>
      <c r="H97" s="636"/>
      <c r="I97" s="616">
        <f t="shared" si="20"/>
        <v>0</v>
      </c>
      <c r="J97" s="642"/>
      <c r="M97" s="643"/>
      <c r="N97" s="610">
        <f t="shared" si="25"/>
        <v>0</v>
      </c>
    </row>
    <row r="98" spans="1:14" hidden="1" x14ac:dyDescent="0.2">
      <c r="A98" s="641" t="s">
        <v>175</v>
      </c>
      <c r="B98" s="609"/>
      <c r="C98" s="606"/>
      <c r="D98" s="606"/>
      <c r="E98" s="636"/>
      <c r="F98" s="606"/>
      <c r="G98" s="606"/>
      <c r="H98" s="636"/>
      <c r="I98" s="616">
        <f t="shared" si="20"/>
        <v>0</v>
      </c>
      <c r="J98" s="642"/>
      <c r="M98" s="643"/>
      <c r="N98" s="610">
        <f t="shared" si="25"/>
        <v>0</v>
      </c>
    </row>
    <row r="99" spans="1:14" hidden="1" x14ac:dyDescent="0.2">
      <c r="A99" s="641" t="s">
        <v>176</v>
      </c>
      <c r="B99" s="609"/>
      <c r="C99" s="606"/>
      <c r="D99" s="606"/>
      <c r="E99" s="636"/>
      <c r="F99" s="606"/>
      <c r="G99" s="606"/>
      <c r="H99" s="636"/>
      <c r="I99" s="616">
        <f t="shared" si="20"/>
        <v>0</v>
      </c>
      <c r="J99" s="642"/>
      <c r="M99" s="643"/>
      <c r="N99" s="610">
        <f t="shared" si="25"/>
        <v>0</v>
      </c>
    </row>
    <row r="100" spans="1:14" ht="25.5" hidden="1" x14ac:dyDescent="0.2">
      <c r="A100" s="641" t="s">
        <v>177</v>
      </c>
      <c r="B100" s="609"/>
      <c r="C100" s="606"/>
      <c r="D100" s="606"/>
      <c r="E100" s="636"/>
      <c r="F100" s="606"/>
      <c r="G100" s="606"/>
      <c r="H100" s="636"/>
      <c r="I100" s="616">
        <f t="shared" si="20"/>
        <v>0</v>
      </c>
      <c r="J100" s="642"/>
      <c r="M100" s="643"/>
      <c r="N100" s="610">
        <f t="shared" si="25"/>
        <v>0</v>
      </c>
    </row>
    <row r="101" spans="1:14" hidden="1" x14ac:dyDescent="0.2">
      <c r="A101" s="641" t="s">
        <v>178</v>
      </c>
      <c r="B101" s="609"/>
      <c r="C101" s="606"/>
      <c r="D101" s="636"/>
      <c r="E101" s="636"/>
      <c r="F101" s="606"/>
      <c r="G101" s="606"/>
      <c r="H101" s="636"/>
      <c r="I101" s="616">
        <f t="shared" si="20"/>
        <v>0</v>
      </c>
      <c r="J101" s="642"/>
      <c r="M101" s="643"/>
      <c r="N101" s="610">
        <f t="shared" si="25"/>
        <v>0</v>
      </c>
    </row>
    <row r="102" spans="1:14" hidden="1" x14ac:dyDescent="0.2">
      <c r="A102" s="644" t="s">
        <v>179</v>
      </c>
      <c r="B102" s="609"/>
      <c r="C102" s="606"/>
      <c r="D102" s="636"/>
      <c r="E102" s="636"/>
      <c r="F102" s="606"/>
      <c r="G102" s="636"/>
      <c r="H102" s="636"/>
      <c r="I102" s="616">
        <f t="shared" si="20"/>
        <v>0</v>
      </c>
      <c r="J102" s="642"/>
      <c r="M102" s="643"/>
      <c r="N102" s="610">
        <f t="shared" si="25"/>
        <v>0</v>
      </c>
    </row>
    <row r="103" spans="1:14" ht="25.5" hidden="1" x14ac:dyDescent="0.2">
      <c r="A103" s="644" t="s">
        <v>180</v>
      </c>
      <c r="B103" s="609"/>
      <c r="C103" s="606"/>
      <c r="D103" s="636"/>
      <c r="E103" s="636"/>
      <c r="F103" s="606"/>
      <c r="G103" s="636"/>
      <c r="H103" s="636"/>
      <c r="I103" s="616">
        <f t="shared" si="20"/>
        <v>0</v>
      </c>
      <c r="J103" s="642"/>
      <c r="M103" s="643"/>
      <c r="N103" s="610">
        <f t="shared" si="25"/>
        <v>0</v>
      </c>
    </row>
    <row r="104" spans="1:14" hidden="1" x14ac:dyDescent="0.2">
      <c r="A104" s="644" t="s">
        <v>181</v>
      </c>
      <c r="B104" s="609"/>
      <c r="C104" s="606"/>
      <c r="D104" s="636"/>
      <c r="E104" s="636"/>
      <c r="F104" s="606"/>
      <c r="G104" s="636"/>
      <c r="H104" s="636"/>
      <c r="I104" s="616">
        <f t="shared" si="20"/>
        <v>0</v>
      </c>
      <c r="J104" s="642"/>
      <c r="M104" s="643"/>
      <c r="N104" s="610">
        <f t="shared" si="25"/>
        <v>0</v>
      </c>
    </row>
    <row r="105" spans="1:14" hidden="1" x14ac:dyDescent="0.2">
      <c r="A105" s="644" t="s">
        <v>939</v>
      </c>
      <c r="B105" s="609"/>
      <c r="C105" s="606"/>
      <c r="D105" s="636"/>
      <c r="E105" s="636"/>
      <c r="F105" s="606"/>
      <c r="G105" s="636"/>
      <c r="H105" s="636"/>
      <c r="I105" s="616">
        <f t="shared" si="20"/>
        <v>0</v>
      </c>
      <c r="J105" s="642"/>
      <c r="M105" s="643"/>
      <c r="N105" s="610">
        <f t="shared" si="25"/>
        <v>0</v>
      </c>
    </row>
    <row r="106" spans="1:14" ht="25.5" hidden="1" x14ac:dyDescent="0.2">
      <c r="A106" s="644" t="s">
        <v>940</v>
      </c>
      <c r="B106" s="609"/>
      <c r="C106" s="606"/>
      <c r="D106" s="636"/>
      <c r="E106" s="636"/>
      <c r="F106" s="606"/>
      <c r="G106" s="636"/>
      <c r="H106" s="636"/>
      <c r="I106" s="616">
        <f t="shared" si="20"/>
        <v>0</v>
      </c>
      <c r="J106" s="642"/>
      <c r="M106" s="643"/>
      <c r="N106" s="610">
        <f t="shared" si="25"/>
        <v>0</v>
      </c>
    </row>
    <row r="107" spans="1:14" ht="25.5" hidden="1" x14ac:dyDescent="0.2">
      <c r="A107" s="645" t="s">
        <v>941</v>
      </c>
      <c r="B107" s="609"/>
      <c r="C107" s="606"/>
      <c r="D107" s="636"/>
      <c r="E107" s="636"/>
      <c r="F107" s="606"/>
      <c r="G107" s="606"/>
      <c r="H107" s="636"/>
      <c r="I107" s="616">
        <f t="shared" si="20"/>
        <v>0</v>
      </c>
      <c r="J107" s="642"/>
      <c r="M107" s="643"/>
      <c r="N107" s="610">
        <f t="shared" si="25"/>
        <v>0</v>
      </c>
    </row>
    <row r="108" spans="1:14" s="621" customFormat="1" ht="30" customHeight="1" x14ac:dyDescent="0.2">
      <c r="A108" s="644" t="s">
        <v>45</v>
      </c>
      <c r="B108" s="646">
        <f t="shared" ref="B108:G108" si="26">SUM(B109:B161)</f>
        <v>3823</v>
      </c>
      <c r="C108" s="646">
        <f t="shared" si="26"/>
        <v>0</v>
      </c>
      <c r="D108" s="646">
        <f t="shared" si="26"/>
        <v>2617</v>
      </c>
      <c r="E108" s="646">
        <f t="shared" si="26"/>
        <v>165225</v>
      </c>
      <c r="F108" s="646">
        <f t="shared" si="26"/>
        <v>0</v>
      </c>
      <c r="G108" s="646">
        <f t="shared" si="26"/>
        <v>0</v>
      </c>
      <c r="H108" s="646">
        <f>SUM(H109:H161)</f>
        <v>46349.55000000001</v>
      </c>
      <c r="I108" s="647">
        <f>SUM(B108:H108)</f>
        <v>218014.55000000002</v>
      </c>
      <c r="J108" s="609">
        <f t="shared" ref="J108:L108" si="27">SUM(J109:J161)</f>
        <v>407796</v>
      </c>
      <c r="K108" s="609">
        <f t="shared" si="27"/>
        <v>0</v>
      </c>
      <c r="L108" s="609">
        <f t="shared" si="27"/>
        <v>0</v>
      </c>
      <c r="M108" s="609">
        <f>SUM(M109:M161)</f>
        <v>110104.51</v>
      </c>
      <c r="N108" s="610">
        <f>SUM(J108:M108)</f>
        <v>517900.51</v>
      </c>
    </row>
    <row r="109" spans="1:14" s="621" customFormat="1" ht="25.5" hidden="1" x14ac:dyDescent="0.2">
      <c r="A109" s="648" t="s">
        <v>942</v>
      </c>
      <c r="B109" s="649"/>
      <c r="C109" s="646"/>
      <c r="D109" s="646"/>
      <c r="E109" s="646"/>
      <c r="F109" s="646"/>
      <c r="G109" s="646"/>
      <c r="H109" s="632">
        <f t="shared" ref="H109:H129" si="28">((SUM(B109:G109))*0.27)</f>
        <v>0</v>
      </c>
      <c r="I109" s="616">
        <f t="shared" ref="I109:I128" si="29">SUM(B109:H109)</f>
        <v>0</v>
      </c>
      <c r="J109" s="623"/>
      <c r="K109" s="609"/>
      <c r="L109" s="609"/>
      <c r="M109" s="619">
        <f t="shared" ref="M109:M128" si="30">((SUM(J109:L109))*0.27)</f>
        <v>0</v>
      </c>
      <c r="N109" s="610">
        <f t="shared" ref="N109:N136" si="31">SUM(J109:M109)</f>
        <v>0</v>
      </c>
    </row>
    <row r="110" spans="1:14" s="621" customFormat="1" ht="25.5" hidden="1" x14ac:dyDescent="0.2">
      <c r="A110" s="648" t="s">
        <v>943</v>
      </c>
      <c r="B110" s="649"/>
      <c r="C110" s="646"/>
      <c r="D110" s="646"/>
      <c r="E110" s="646"/>
      <c r="F110" s="646"/>
      <c r="G110" s="646"/>
      <c r="H110" s="632">
        <f t="shared" si="28"/>
        <v>0</v>
      </c>
      <c r="I110" s="616">
        <f t="shared" si="29"/>
        <v>0</v>
      </c>
      <c r="J110" s="614"/>
      <c r="K110" s="609"/>
      <c r="L110" s="609"/>
      <c r="M110" s="619">
        <f t="shared" si="30"/>
        <v>0</v>
      </c>
      <c r="N110" s="610">
        <f t="shared" si="31"/>
        <v>0</v>
      </c>
    </row>
    <row r="111" spans="1:14" s="621" customFormat="1" ht="25.5" hidden="1" x14ac:dyDescent="0.2">
      <c r="A111" s="648" t="s">
        <v>944</v>
      </c>
      <c r="B111" s="649"/>
      <c r="C111" s="646"/>
      <c r="D111" s="646"/>
      <c r="E111" s="646"/>
      <c r="F111" s="646"/>
      <c r="G111" s="646"/>
      <c r="H111" s="632">
        <f t="shared" si="28"/>
        <v>0</v>
      </c>
      <c r="I111" s="616">
        <f t="shared" si="29"/>
        <v>0</v>
      </c>
      <c r="J111" s="614"/>
      <c r="K111" s="609"/>
      <c r="L111" s="609"/>
      <c r="M111" s="619">
        <f t="shared" si="30"/>
        <v>0</v>
      </c>
      <c r="N111" s="610">
        <f t="shared" si="31"/>
        <v>0</v>
      </c>
    </row>
    <row r="112" spans="1:14" s="621" customFormat="1" hidden="1" x14ac:dyDescent="0.2">
      <c r="A112" s="648" t="s">
        <v>945</v>
      </c>
      <c r="B112" s="649"/>
      <c r="C112" s="646"/>
      <c r="D112" s="646"/>
      <c r="E112" s="646"/>
      <c r="F112" s="646"/>
      <c r="G112" s="646"/>
      <c r="H112" s="632">
        <f t="shared" si="28"/>
        <v>0</v>
      </c>
      <c r="I112" s="616">
        <f t="shared" si="29"/>
        <v>0</v>
      </c>
      <c r="J112" s="614"/>
      <c r="K112" s="609"/>
      <c r="L112" s="609"/>
      <c r="M112" s="619">
        <f t="shared" si="30"/>
        <v>0</v>
      </c>
      <c r="N112" s="610">
        <f t="shared" si="31"/>
        <v>0</v>
      </c>
    </row>
    <row r="113" spans="1:14" s="621" customFormat="1" ht="25.5" hidden="1" x14ac:dyDescent="0.2">
      <c r="A113" s="648" t="s">
        <v>946</v>
      </c>
      <c r="B113" s="649"/>
      <c r="C113" s="646"/>
      <c r="D113" s="646"/>
      <c r="E113" s="646"/>
      <c r="F113" s="646"/>
      <c r="G113" s="646"/>
      <c r="H113" s="632">
        <f t="shared" si="28"/>
        <v>0</v>
      </c>
      <c r="I113" s="616">
        <f t="shared" si="29"/>
        <v>0</v>
      </c>
      <c r="J113" s="614"/>
      <c r="K113" s="609"/>
      <c r="L113" s="609"/>
      <c r="M113" s="619">
        <f t="shared" si="30"/>
        <v>0</v>
      </c>
      <c r="N113" s="610">
        <f t="shared" si="31"/>
        <v>0</v>
      </c>
    </row>
    <row r="114" spans="1:14" s="621" customFormat="1" ht="25.5" hidden="1" x14ac:dyDescent="0.2">
      <c r="A114" s="648" t="s">
        <v>947</v>
      </c>
      <c r="B114" s="649"/>
      <c r="C114" s="646"/>
      <c r="D114" s="646"/>
      <c r="E114" s="646"/>
      <c r="F114" s="646"/>
      <c r="G114" s="646"/>
      <c r="H114" s="632">
        <f t="shared" si="28"/>
        <v>0</v>
      </c>
      <c r="I114" s="616">
        <f t="shared" si="29"/>
        <v>0</v>
      </c>
      <c r="J114" s="614"/>
      <c r="K114" s="609"/>
      <c r="L114" s="609"/>
      <c r="M114" s="619">
        <f t="shared" si="30"/>
        <v>0</v>
      </c>
      <c r="N114" s="610">
        <f t="shared" si="31"/>
        <v>0</v>
      </c>
    </row>
    <row r="115" spans="1:14" s="621" customFormat="1" ht="25.5" hidden="1" x14ac:dyDescent="0.2">
      <c r="A115" s="648" t="s">
        <v>948</v>
      </c>
      <c r="B115" s="649"/>
      <c r="C115" s="646"/>
      <c r="D115" s="646"/>
      <c r="E115" s="646"/>
      <c r="F115" s="646"/>
      <c r="G115" s="646"/>
      <c r="H115" s="632">
        <f t="shared" si="28"/>
        <v>0</v>
      </c>
      <c r="I115" s="616">
        <f t="shared" si="29"/>
        <v>0</v>
      </c>
      <c r="J115" s="614"/>
      <c r="K115" s="609"/>
      <c r="L115" s="609"/>
      <c r="M115" s="619">
        <f t="shared" si="30"/>
        <v>0</v>
      </c>
      <c r="N115" s="610">
        <f t="shared" si="31"/>
        <v>0</v>
      </c>
    </row>
    <row r="116" spans="1:14" s="621" customFormat="1" x14ac:dyDescent="0.2">
      <c r="A116" s="644" t="s">
        <v>949</v>
      </c>
      <c r="B116" s="649"/>
      <c r="C116" s="646"/>
      <c r="D116" s="646"/>
      <c r="E116" s="646"/>
      <c r="F116" s="646"/>
      <c r="G116" s="646"/>
      <c r="H116" s="632"/>
      <c r="I116" s="616"/>
      <c r="J116" s="614"/>
      <c r="K116" s="609"/>
      <c r="L116" s="609"/>
      <c r="M116" s="619"/>
      <c r="N116" s="610"/>
    </row>
    <row r="117" spans="1:14" s="621" customFormat="1" ht="25.5" x14ac:dyDescent="0.2">
      <c r="A117" s="648" t="s">
        <v>950</v>
      </c>
      <c r="B117" s="649"/>
      <c r="C117" s="646"/>
      <c r="D117" s="646"/>
      <c r="E117" s="646"/>
      <c r="F117" s="646"/>
      <c r="G117" s="646"/>
      <c r="H117" s="632">
        <f t="shared" si="28"/>
        <v>0</v>
      </c>
      <c r="I117" s="616">
        <f t="shared" si="29"/>
        <v>0</v>
      </c>
      <c r="J117" s="623">
        <v>338583</v>
      </c>
      <c r="K117" s="609"/>
      <c r="L117" s="609"/>
      <c r="M117" s="619">
        <v>91417</v>
      </c>
      <c r="N117" s="610">
        <f t="shared" si="31"/>
        <v>430000</v>
      </c>
    </row>
    <row r="118" spans="1:14" s="621" customFormat="1" ht="25.5" x14ac:dyDescent="0.2">
      <c r="A118" s="648" t="s">
        <v>951</v>
      </c>
      <c r="B118" s="649"/>
      <c r="C118" s="646"/>
      <c r="D118" s="646"/>
      <c r="E118" s="646"/>
      <c r="F118" s="646"/>
      <c r="G118" s="646"/>
      <c r="H118" s="632">
        <f t="shared" si="28"/>
        <v>0</v>
      </c>
      <c r="I118" s="616">
        <f t="shared" si="29"/>
        <v>0</v>
      </c>
      <c r="J118" s="614">
        <v>55118</v>
      </c>
      <c r="K118" s="609"/>
      <c r="L118" s="609"/>
      <c r="M118" s="619">
        <f t="shared" si="30"/>
        <v>14881.86</v>
      </c>
      <c r="N118" s="610">
        <f t="shared" si="31"/>
        <v>69999.86</v>
      </c>
    </row>
    <row r="119" spans="1:14" s="621" customFormat="1" x14ac:dyDescent="0.2">
      <c r="A119" s="648" t="s">
        <v>952</v>
      </c>
      <c r="B119" s="649"/>
      <c r="C119" s="646"/>
      <c r="D119" s="646"/>
      <c r="E119" s="650">
        <v>18110</v>
      </c>
      <c r="F119" s="646"/>
      <c r="G119" s="646"/>
      <c r="H119" s="632">
        <f t="shared" si="28"/>
        <v>4889.7000000000007</v>
      </c>
      <c r="I119" s="616">
        <f t="shared" si="29"/>
        <v>22999.7</v>
      </c>
      <c r="J119" s="614"/>
      <c r="K119" s="609"/>
      <c r="L119" s="609"/>
      <c r="M119" s="619">
        <f t="shared" si="30"/>
        <v>0</v>
      </c>
      <c r="N119" s="610">
        <f t="shared" si="31"/>
        <v>0</v>
      </c>
    </row>
    <row r="120" spans="1:14" s="621" customFormat="1" hidden="1" x14ac:dyDescent="0.2">
      <c r="A120" s="648"/>
      <c r="B120" s="649"/>
      <c r="C120" s="646"/>
      <c r="D120" s="646"/>
      <c r="E120" s="646"/>
      <c r="F120" s="646"/>
      <c r="G120" s="646"/>
      <c r="H120" s="632">
        <f t="shared" si="28"/>
        <v>0</v>
      </c>
      <c r="I120" s="616">
        <f t="shared" si="29"/>
        <v>0</v>
      </c>
      <c r="J120" s="614"/>
      <c r="K120" s="609"/>
      <c r="L120" s="609"/>
      <c r="M120" s="619">
        <f t="shared" si="30"/>
        <v>0</v>
      </c>
      <c r="N120" s="610">
        <f t="shared" si="31"/>
        <v>0</v>
      </c>
    </row>
    <row r="121" spans="1:14" s="621" customFormat="1" hidden="1" x14ac:dyDescent="0.2">
      <c r="A121" s="648"/>
      <c r="B121" s="649"/>
      <c r="C121" s="646"/>
      <c r="D121" s="646"/>
      <c r="E121" s="646"/>
      <c r="F121" s="646"/>
      <c r="G121" s="646"/>
      <c r="H121" s="632">
        <f t="shared" si="28"/>
        <v>0</v>
      </c>
      <c r="I121" s="616">
        <f t="shared" si="29"/>
        <v>0</v>
      </c>
      <c r="J121" s="614"/>
      <c r="K121" s="609"/>
      <c r="L121" s="609"/>
      <c r="M121" s="619">
        <f t="shared" si="30"/>
        <v>0</v>
      </c>
      <c r="N121" s="610">
        <f t="shared" si="31"/>
        <v>0</v>
      </c>
    </row>
    <row r="122" spans="1:14" s="621" customFormat="1" hidden="1" x14ac:dyDescent="0.2">
      <c r="A122" s="648"/>
      <c r="B122" s="649"/>
      <c r="C122" s="646"/>
      <c r="D122" s="646"/>
      <c r="E122" s="646"/>
      <c r="F122" s="646"/>
      <c r="G122" s="646"/>
      <c r="H122" s="632">
        <f t="shared" si="28"/>
        <v>0</v>
      </c>
      <c r="I122" s="616">
        <f t="shared" si="29"/>
        <v>0</v>
      </c>
      <c r="J122" s="614"/>
      <c r="K122" s="609"/>
      <c r="L122" s="609"/>
      <c r="M122" s="619">
        <f t="shared" si="30"/>
        <v>0</v>
      </c>
      <c r="N122" s="610">
        <f t="shared" si="31"/>
        <v>0</v>
      </c>
    </row>
    <row r="123" spans="1:14" s="621" customFormat="1" hidden="1" x14ac:dyDescent="0.2">
      <c r="A123" s="648"/>
      <c r="B123" s="649"/>
      <c r="C123" s="646"/>
      <c r="D123" s="646"/>
      <c r="E123" s="646"/>
      <c r="F123" s="646"/>
      <c r="G123" s="646"/>
      <c r="H123" s="632">
        <f t="shared" si="28"/>
        <v>0</v>
      </c>
      <c r="I123" s="616">
        <f t="shared" si="29"/>
        <v>0</v>
      </c>
      <c r="J123" s="614"/>
      <c r="K123" s="609"/>
      <c r="L123" s="609"/>
      <c r="M123" s="619">
        <f t="shared" si="30"/>
        <v>0</v>
      </c>
      <c r="N123" s="610">
        <f t="shared" si="31"/>
        <v>0</v>
      </c>
    </row>
    <row r="124" spans="1:14" s="621" customFormat="1" hidden="1" x14ac:dyDescent="0.2">
      <c r="A124" s="648"/>
      <c r="B124" s="649"/>
      <c r="C124" s="646"/>
      <c r="D124" s="646"/>
      <c r="E124" s="646"/>
      <c r="F124" s="646"/>
      <c r="G124" s="646"/>
      <c r="H124" s="632">
        <f t="shared" si="28"/>
        <v>0</v>
      </c>
      <c r="I124" s="616">
        <f t="shared" si="29"/>
        <v>0</v>
      </c>
      <c r="J124" s="614"/>
      <c r="K124" s="609"/>
      <c r="L124" s="609"/>
      <c r="M124" s="619">
        <f t="shared" si="30"/>
        <v>0</v>
      </c>
      <c r="N124" s="610">
        <f t="shared" si="31"/>
        <v>0</v>
      </c>
    </row>
    <row r="125" spans="1:14" s="621" customFormat="1" hidden="1" x14ac:dyDescent="0.2">
      <c r="A125" s="648"/>
      <c r="B125" s="649"/>
      <c r="C125" s="646"/>
      <c r="D125" s="646"/>
      <c r="E125" s="646"/>
      <c r="F125" s="646"/>
      <c r="G125" s="646"/>
      <c r="H125" s="632">
        <f t="shared" si="28"/>
        <v>0</v>
      </c>
      <c r="I125" s="616">
        <f t="shared" si="29"/>
        <v>0</v>
      </c>
      <c r="J125" s="614"/>
      <c r="K125" s="609"/>
      <c r="L125" s="609"/>
      <c r="M125" s="619">
        <f t="shared" si="30"/>
        <v>0</v>
      </c>
      <c r="N125" s="610">
        <f t="shared" si="31"/>
        <v>0</v>
      </c>
    </row>
    <row r="126" spans="1:14" s="621" customFormat="1" hidden="1" x14ac:dyDescent="0.2">
      <c r="A126" s="648"/>
      <c r="B126" s="649"/>
      <c r="C126" s="646"/>
      <c r="D126" s="646"/>
      <c r="E126" s="646"/>
      <c r="F126" s="646"/>
      <c r="G126" s="646"/>
      <c r="H126" s="632">
        <f t="shared" si="28"/>
        <v>0</v>
      </c>
      <c r="I126" s="616">
        <f t="shared" si="29"/>
        <v>0</v>
      </c>
      <c r="J126" s="614"/>
      <c r="K126" s="609"/>
      <c r="L126" s="609"/>
      <c r="M126" s="619">
        <f t="shared" si="30"/>
        <v>0</v>
      </c>
      <c r="N126" s="610">
        <f t="shared" si="31"/>
        <v>0</v>
      </c>
    </row>
    <row r="127" spans="1:14" s="621" customFormat="1" hidden="1" x14ac:dyDescent="0.2">
      <c r="A127" s="648"/>
      <c r="B127" s="649"/>
      <c r="C127" s="646"/>
      <c r="D127" s="646"/>
      <c r="E127" s="646"/>
      <c r="F127" s="646"/>
      <c r="G127" s="646"/>
      <c r="H127" s="632">
        <f t="shared" si="28"/>
        <v>0</v>
      </c>
      <c r="I127" s="616">
        <f t="shared" si="29"/>
        <v>0</v>
      </c>
      <c r="J127" s="614"/>
      <c r="K127" s="609"/>
      <c r="L127" s="609"/>
      <c r="M127" s="619">
        <f t="shared" si="30"/>
        <v>0</v>
      </c>
      <c r="N127" s="610">
        <f t="shared" si="31"/>
        <v>0</v>
      </c>
    </row>
    <row r="128" spans="1:14" s="621" customFormat="1" hidden="1" x14ac:dyDescent="0.2">
      <c r="A128" s="648"/>
      <c r="B128" s="649"/>
      <c r="C128" s="646"/>
      <c r="D128" s="646"/>
      <c r="E128" s="646"/>
      <c r="F128" s="646"/>
      <c r="G128" s="646"/>
      <c r="H128" s="632">
        <f t="shared" si="28"/>
        <v>0</v>
      </c>
      <c r="I128" s="616">
        <f t="shared" si="29"/>
        <v>0</v>
      </c>
      <c r="J128" s="614"/>
      <c r="K128" s="609"/>
      <c r="L128" s="609"/>
      <c r="M128" s="619">
        <f t="shared" si="30"/>
        <v>0</v>
      </c>
      <c r="N128" s="610">
        <f t="shared" si="31"/>
        <v>0</v>
      </c>
    </row>
    <row r="129" spans="1:14" s="621" customFormat="1" x14ac:dyDescent="0.2">
      <c r="A129" s="644" t="s">
        <v>953</v>
      </c>
      <c r="B129" s="649"/>
      <c r="C129" s="646"/>
      <c r="D129" s="646"/>
      <c r="E129" s="646"/>
      <c r="F129" s="646"/>
      <c r="G129" s="646"/>
      <c r="H129" s="632">
        <f t="shared" si="28"/>
        <v>0</v>
      </c>
      <c r="I129" s="616">
        <f t="shared" ref="I129:I266" si="32">SUM(B129:H129)</f>
        <v>0</v>
      </c>
      <c r="J129" s="651"/>
      <c r="K129" s="608"/>
      <c r="L129" s="608"/>
      <c r="M129" s="619">
        <f>((SUM(J129:L129))*0.27)</f>
        <v>0</v>
      </c>
      <c r="N129" s="610">
        <f t="shared" si="31"/>
        <v>0</v>
      </c>
    </row>
    <row r="130" spans="1:14" s="621" customFormat="1" hidden="1" x14ac:dyDescent="0.2">
      <c r="A130" s="648" t="s">
        <v>954</v>
      </c>
      <c r="B130" s="649"/>
      <c r="C130" s="650"/>
      <c r="D130" s="646"/>
      <c r="E130" s="650"/>
      <c r="F130" s="646"/>
      <c r="G130" s="646"/>
      <c r="H130" s="632">
        <f t="shared" ref="H130:H160" si="33">((SUM(B130:G130))*0.27)</f>
        <v>0</v>
      </c>
      <c r="I130" s="616">
        <f t="shared" si="32"/>
        <v>0</v>
      </c>
      <c r="J130" s="651"/>
      <c r="K130" s="608"/>
      <c r="L130" s="608"/>
      <c r="M130" s="619">
        <f>((SUM(J130:L130))*0.27)</f>
        <v>0</v>
      </c>
      <c r="N130" s="610">
        <f t="shared" si="31"/>
        <v>0</v>
      </c>
    </row>
    <row r="131" spans="1:14" s="621" customFormat="1" x14ac:dyDescent="0.2">
      <c r="A131" s="648" t="s">
        <v>955</v>
      </c>
      <c r="B131" s="649"/>
      <c r="C131" s="646"/>
      <c r="D131" s="646"/>
      <c r="E131" s="646"/>
      <c r="F131" s="646"/>
      <c r="G131" s="646"/>
      <c r="H131" s="632">
        <f t="shared" si="33"/>
        <v>0</v>
      </c>
      <c r="I131" s="616">
        <f t="shared" si="32"/>
        <v>0</v>
      </c>
      <c r="J131" s="651">
        <v>1260</v>
      </c>
      <c r="K131" s="608"/>
      <c r="L131" s="608"/>
      <c r="M131" s="619">
        <f>((SUM(J131:L131))*0.27)</f>
        <v>340.20000000000005</v>
      </c>
      <c r="N131" s="610">
        <f t="shared" si="31"/>
        <v>1600.2</v>
      </c>
    </row>
    <row r="132" spans="1:14" s="621" customFormat="1" hidden="1" x14ac:dyDescent="0.2">
      <c r="A132" s="648" t="s">
        <v>956</v>
      </c>
      <c r="B132" s="649"/>
      <c r="C132" s="646"/>
      <c r="D132" s="646"/>
      <c r="E132" s="646"/>
      <c r="F132" s="646"/>
      <c r="G132" s="646"/>
      <c r="H132" s="632">
        <f t="shared" si="33"/>
        <v>0</v>
      </c>
      <c r="I132" s="616">
        <f t="shared" si="32"/>
        <v>0</v>
      </c>
      <c r="J132" s="651"/>
      <c r="K132" s="608"/>
      <c r="L132" s="608"/>
      <c r="M132" s="619">
        <f>((SUM(J132:L132))*0.27)</f>
        <v>0</v>
      </c>
      <c r="N132" s="610">
        <f t="shared" si="31"/>
        <v>0</v>
      </c>
    </row>
    <row r="133" spans="1:14" s="621" customFormat="1" x14ac:dyDescent="0.2">
      <c r="A133" s="648" t="s">
        <v>957</v>
      </c>
      <c r="B133" s="649"/>
      <c r="C133" s="646"/>
      <c r="D133" s="646"/>
      <c r="E133" s="650">
        <v>2362</v>
      </c>
      <c r="F133" s="646"/>
      <c r="G133" s="646"/>
      <c r="H133" s="632">
        <f t="shared" si="33"/>
        <v>637.74</v>
      </c>
      <c r="I133" s="616">
        <f t="shared" si="32"/>
        <v>2999.74</v>
      </c>
      <c r="J133" s="652"/>
      <c r="K133" s="608"/>
      <c r="L133" s="608"/>
      <c r="M133" s="619">
        <f t="shared" ref="M133:M145" si="34">((SUM(J133:L133))*0.27)</f>
        <v>0</v>
      </c>
      <c r="N133" s="610">
        <f t="shared" si="31"/>
        <v>0</v>
      </c>
    </row>
    <row r="134" spans="1:14" s="621" customFormat="1" x14ac:dyDescent="0.2">
      <c r="A134" s="648" t="s">
        <v>958</v>
      </c>
      <c r="B134" s="649"/>
      <c r="C134" s="646"/>
      <c r="D134" s="646"/>
      <c r="E134" s="646"/>
      <c r="F134" s="646"/>
      <c r="G134" s="646"/>
      <c r="H134" s="632">
        <f t="shared" si="33"/>
        <v>0</v>
      </c>
      <c r="I134" s="616">
        <f t="shared" si="32"/>
        <v>0</v>
      </c>
      <c r="J134" s="651">
        <v>9449</v>
      </c>
      <c r="K134" s="608"/>
      <c r="L134" s="608"/>
      <c r="M134" s="619">
        <f t="shared" si="34"/>
        <v>2551.23</v>
      </c>
      <c r="N134" s="610">
        <f t="shared" si="31"/>
        <v>12000.23</v>
      </c>
    </row>
    <row r="135" spans="1:14" s="621" customFormat="1" x14ac:dyDescent="0.2">
      <c r="A135" s="648" t="s">
        <v>959</v>
      </c>
      <c r="B135" s="649"/>
      <c r="C135" s="646"/>
      <c r="D135" s="646"/>
      <c r="E135" s="650">
        <v>788</v>
      </c>
      <c r="F135" s="646"/>
      <c r="G135" s="646"/>
      <c r="H135" s="632">
        <f t="shared" si="33"/>
        <v>212.76000000000002</v>
      </c>
      <c r="I135" s="616">
        <f t="shared" si="32"/>
        <v>1000.76</v>
      </c>
      <c r="J135" s="652"/>
      <c r="K135" s="608"/>
      <c r="L135" s="608"/>
      <c r="M135" s="619">
        <f t="shared" si="34"/>
        <v>0</v>
      </c>
      <c r="N135" s="610">
        <f t="shared" si="31"/>
        <v>0</v>
      </c>
    </row>
    <row r="136" spans="1:14" s="621" customFormat="1" x14ac:dyDescent="0.2">
      <c r="A136" s="648" t="s">
        <v>960</v>
      </c>
      <c r="B136" s="649"/>
      <c r="C136" s="646"/>
      <c r="D136" s="646"/>
      <c r="E136" s="646"/>
      <c r="F136" s="646"/>
      <c r="G136" s="646"/>
      <c r="H136" s="632">
        <f t="shared" si="33"/>
        <v>0</v>
      </c>
      <c r="I136" s="616">
        <f t="shared" si="32"/>
        <v>0</v>
      </c>
      <c r="J136" s="651">
        <v>3150</v>
      </c>
      <c r="K136" s="608"/>
      <c r="L136" s="608"/>
      <c r="M136" s="619">
        <f t="shared" si="34"/>
        <v>850.5</v>
      </c>
      <c r="N136" s="610">
        <f t="shared" si="31"/>
        <v>4000.5</v>
      </c>
    </row>
    <row r="137" spans="1:14" s="653" customFormat="1" x14ac:dyDescent="0.2">
      <c r="A137" s="622" t="s">
        <v>961</v>
      </c>
      <c r="B137" s="630"/>
      <c r="C137" s="631"/>
      <c r="D137" s="631"/>
      <c r="E137" s="631"/>
      <c r="F137" s="631"/>
      <c r="G137" s="631"/>
      <c r="H137" s="632">
        <f t="shared" si="33"/>
        <v>0</v>
      </c>
      <c r="I137" s="616">
        <f>SUM(B137:H137)</f>
        <v>0</v>
      </c>
      <c r="J137" s="651">
        <v>236</v>
      </c>
      <c r="K137" s="632"/>
      <c r="L137" s="632"/>
      <c r="M137" s="619">
        <f t="shared" si="34"/>
        <v>63.720000000000006</v>
      </c>
      <c r="N137" s="610">
        <f>SUM(J137:M137)</f>
        <v>299.72000000000003</v>
      </c>
    </row>
    <row r="138" spans="1:14" s="653" customFormat="1" x14ac:dyDescent="0.2">
      <c r="A138" s="654" t="s">
        <v>962</v>
      </c>
      <c r="B138" s="655"/>
      <c r="C138" s="615"/>
      <c r="D138" s="615"/>
      <c r="E138" s="615">
        <v>551</v>
      </c>
      <c r="F138" s="615"/>
      <c r="G138" s="615"/>
      <c r="H138" s="636">
        <f t="shared" si="33"/>
        <v>148.77000000000001</v>
      </c>
      <c r="I138" s="616">
        <f t="shared" ref="I138:I160" si="35">SUM(B138:H138)</f>
        <v>699.77</v>
      </c>
      <c r="J138" s="643"/>
      <c r="K138" s="636"/>
      <c r="L138" s="636"/>
      <c r="M138" s="619">
        <f t="shared" si="34"/>
        <v>0</v>
      </c>
      <c r="N138" s="610">
        <f t="shared" ref="N138:N161" si="36">SUM(J138:M138)</f>
        <v>0</v>
      </c>
    </row>
    <row r="139" spans="1:14" s="653" customFormat="1" x14ac:dyDescent="0.2">
      <c r="A139" s="644" t="s">
        <v>963</v>
      </c>
      <c r="B139" s="655"/>
      <c r="C139" s="615"/>
      <c r="D139" s="615"/>
      <c r="E139" s="615"/>
      <c r="F139" s="615"/>
      <c r="G139" s="615"/>
      <c r="H139" s="636">
        <f t="shared" si="33"/>
        <v>0</v>
      </c>
      <c r="I139" s="616">
        <f t="shared" si="35"/>
        <v>0</v>
      </c>
      <c r="J139" s="643"/>
      <c r="K139" s="636"/>
      <c r="L139" s="636"/>
      <c r="M139" s="619">
        <f t="shared" si="34"/>
        <v>0</v>
      </c>
      <c r="N139" s="610">
        <f t="shared" si="36"/>
        <v>0</v>
      </c>
    </row>
    <row r="140" spans="1:14" s="653" customFormat="1" x14ac:dyDescent="0.2">
      <c r="A140" s="648" t="s">
        <v>964</v>
      </c>
      <c r="B140" s="655"/>
      <c r="C140" s="615"/>
      <c r="D140" s="615"/>
      <c r="E140" s="615"/>
      <c r="F140" s="615"/>
      <c r="G140" s="615"/>
      <c r="H140" s="636">
        <f t="shared" si="33"/>
        <v>0</v>
      </c>
      <c r="I140" s="616">
        <f t="shared" si="35"/>
        <v>0</v>
      </c>
      <c r="J140" s="643"/>
      <c r="K140" s="636"/>
      <c r="L140" s="636"/>
      <c r="M140" s="619">
        <f t="shared" si="34"/>
        <v>0</v>
      </c>
      <c r="N140" s="610">
        <f t="shared" si="36"/>
        <v>0</v>
      </c>
    </row>
    <row r="141" spans="1:14" s="653" customFormat="1" x14ac:dyDescent="0.2">
      <c r="A141" s="644" t="s">
        <v>965</v>
      </c>
      <c r="B141" s="655"/>
      <c r="C141" s="615"/>
      <c r="D141" s="615"/>
      <c r="E141" s="615"/>
      <c r="F141" s="615"/>
      <c r="G141" s="615"/>
      <c r="H141" s="636">
        <f t="shared" si="33"/>
        <v>0</v>
      </c>
      <c r="I141" s="616">
        <f t="shared" si="35"/>
        <v>0</v>
      </c>
      <c r="J141" s="643"/>
      <c r="K141" s="636"/>
      <c r="L141" s="636"/>
      <c r="M141" s="619">
        <f t="shared" si="34"/>
        <v>0</v>
      </c>
      <c r="N141" s="610">
        <f t="shared" si="36"/>
        <v>0</v>
      </c>
    </row>
    <row r="142" spans="1:14" s="653" customFormat="1" hidden="1" x14ac:dyDescent="0.2">
      <c r="A142" s="648" t="s">
        <v>966</v>
      </c>
      <c r="B142" s="655"/>
      <c r="C142" s="615"/>
      <c r="D142" s="615"/>
      <c r="E142" s="615"/>
      <c r="F142" s="615"/>
      <c r="G142" s="615"/>
      <c r="H142" s="636">
        <f t="shared" si="33"/>
        <v>0</v>
      </c>
      <c r="I142" s="616">
        <f t="shared" si="35"/>
        <v>0</v>
      </c>
      <c r="J142" s="643"/>
      <c r="K142" s="636"/>
      <c r="L142" s="636"/>
      <c r="M142" s="619">
        <f t="shared" si="34"/>
        <v>0</v>
      </c>
      <c r="N142" s="610">
        <f t="shared" si="36"/>
        <v>0</v>
      </c>
    </row>
    <row r="143" spans="1:14" s="653" customFormat="1" x14ac:dyDescent="0.2">
      <c r="A143" s="648" t="s">
        <v>967</v>
      </c>
      <c r="B143" s="655"/>
      <c r="C143" s="615"/>
      <c r="D143" s="615"/>
      <c r="E143" s="615">
        <v>236</v>
      </c>
      <c r="F143" s="615"/>
      <c r="G143" s="615"/>
      <c r="H143" s="636">
        <f t="shared" si="33"/>
        <v>63.720000000000006</v>
      </c>
      <c r="I143" s="616">
        <f t="shared" si="35"/>
        <v>299.72000000000003</v>
      </c>
      <c r="J143" s="643"/>
      <c r="K143" s="636"/>
      <c r="L143" s="636"/>
      <c r="M143" s="619">
        <f t="shared" si="34"/>
        <v>0</v>
      </c>
      <c r="N143" s="610">
        <f t="shared" si="36"/>
        <v>0</v>
      </c>
    </row>
    <row r="144" spans="1:14" s="653" customFormat="1" x14ac:dyDescent="0.2">
      <c r="A144" s="648" t="s">
        <v>968</v>
      </c>
      <c r="B144" s="655"/>
      <c r="C144" s="615"/>
      <c r="D144" s="615"/>
      <c r="E144" s="615">
        <v>473</v>
      </c>
      <c r="F144" s="615"/>
      <c r="G144" s="615"/>
      <c r="H144" s="636">
        <f t="shared" si="33"/>
        <v>127.71000000000001</v>
      </c>
      <c r="I144" s="616">
        <f t="shared" si="35"/>
        <v>600.71</v>
      </c>
      <c r="J144" s="643"/>
      <c r="K144" s="636"/>
      <c r="L144" s="636"/>
      <c r="M144" s="619">
        <f t="shared" si="34"/>
        <v>0</v>
      </c>
      <c r="N144" s="610">
        <f t="shared" si="36"/>
        <v>0</v>
      </c>
    </row>
    <row r="145" spans="1:14" s="653" customFormat="1" x14ac:dyDescent="0.2">
      <c r="A145" s="644" t="s">
        <v>969</v>
      </c>
      <c r="B145" s="655"/>
      <c r="C145" s="615"/>
      <c r="D145" s="615"/>
      <c r="E145" s="615"/>
      <c r="F145" s="615"/>
      <c r="G145" s="615"/>
      <c r="H145" s="636">
        <f t="shared" si="33"/>
        <v>0</v>
      </c>
      <c r="I145" s="616">
        <f t="shared" si="35"/>
        <v>0</v>
      </c>
      <c r="J145" s="643"/>
      <c r="K145" s="636"/>
      <c r="L145" s="636"/>
      <c r="M145" s="619">
        <f t="shared" si="34"/>
        <v>0</v>
      </c>
      <c r="N145" s="610">
        <f t="shared" si="36"/>
        <v>0</v>
      </c>
    </row>
    <row r="146" spans="1:14" s="653" customFormat="1" x14ac:dyDescent="0.2">
      <c r="A146" s="648" t="s">
        <v>970</v>
      </c>
      <c r="B146" s="655"/>
      <c r="C146" s="615"/>
      <c r="D146" s="615"/>
      <c r="E146" s="615">
        <v>3150</v>
      </c>
      <c r="F146" s="615"/>
      <c r="G146" s="615"/>
      <c r="H146" s="636">
        <f t="shared" si="33"/>
        <v>850.5</v>
      </c>
      <c r="I146" s="616">
        <f t="shared" si="35"/>
        <v>4000.5</v>
      </c>
      <c r="J146" s="643"/>
      <c r="K146" s="636"/>
      <c r="L146" s="636"/>
      <c r="M146" s="619"/>
      <c r="N146" s="610"/>
    </row>
    <row r="147" spans="1:14" s="653" customFormat="1" x14ac:dyDescent="0.2">
      <c r="A147" s="648" t="s">
        <v>971</v>
      </c>
      <c r="B147" s="655"/>
      <c r="C147" s="615"/>
      <c r="D147" s="615"/>
      <c r="E147" s="615">
        <v>5118</v>
      </c>
      <c r="F147" s="615"/>
      <c r="G147" s="615"/>
      <c r="H147" s="636">
        <f t="shared" si="33"/>
        <v>1381.8600000000001</v>
      </c>
      <c r="I147" s="616">
        <f t="shared" si="35"/>
        <v>6499.8600000000006</v>
      </c>
      <c r="J147" s="643"/>
      <c r="K147" s="636"/>
      <c r="L147" s="636"/>
      <c r="M147" s="619"/>
      <c r="N147" s="610"/>
    </row>
    <row r="148" spans="1:14" s="653" customFormat="1" x14ac:dyDescent="0.2">
      <c r="A148" s="654" t="s">
        <v>972</v>
      </c>
      <c r="B148" s="655"/>
      <c r="C148" s="615"/>
      <c r="D148" s="615"/>
      <c r="E148" s="615">
        <v>7874</v>
      </c>
      <c r="F148" s="615"/>
      <c r="G148" s="615"/>
      <c r="H148" s="636">
        <f t="shared" si="33"/>
        <v>2125.98</v>
      </c>
      <c r="I148" s="616">
        <f t="shared" si="35"/>
        <v>9999.98</v>
      </c>
      <c r="J148" s="643"/>
      <c r="K148" s="636"/>
      <c r="L148" s="636"/>
      <c r="M148" s="619"/>
      <c r="N148" s="610">
        <f t="shared" si="36"/>
        <v>0</v>
      </c>
    </row>
    <row r="149" spans="1:14" s="653" customFormat="1" x14ac:dyDescent="0.2">
      <c r="A149" s="654" t="s">
        <v>973</v>
      </c>
      <c r="B149" s="655"/>
      <c r="C149" s="615"/>
      <c r="D149" s="615"/>
      <c r="E149" s="615">
        <v>4725</v>
      </c>
      <c r="F149" s="615"/>
      <c r="G149" s="615"/>
      <c r="H149" s="636">
        <f t="shared" si="33"/>
        <v>1275.75</v>
      </c>
      <c r="I149" s="616">
        <f t="shared" si="35"/>
        <v>6000.75</v>
      </c>
      <c r="J149" s="643"/>
      <c r="K149" s="636"/>
      <c r="L149" s="636"/>
      <c r="M149" s="636"/>
      <c r="N149" s="610">
        <f t="shared" si="36"/>
        <v>0</v>
      </c>
    </row>
    <row r="150" spans="1:14" s="653" customFormat="1" ht="31.5" customHeight="1" x14ac:dyDescent="0.2">
      <c r="A150" s="654" t="s">
        <v>974</v>
      </c>
      <c r="B150" s="655"/>
      <c r="C150" s="615"/>
      <c r="D150" s="615"/>
      <c r="E150" s="615">
        <v>17323</v>
      </c>
      <c r="F150" s="615"/>
      <c r="G150" s="615"/>
      <c r="H150" s="636">
        <f t="shared" si="33"/>
        <v>4677.21</v>
      </c>
      <c r="I150" s="616">
        <f t="shared" si="35"/>
        <v>22000.21</v>
      </c>
      <c r="J150" s="643"/>
      <c r="K150" s="636"/>
      <c r="L150" s="636"/>
      <c r="M150" s="636"/>
      <c r="N150" s="610">
        <f t="shared" si="36"/>
        <v>0</v>
      </c>
    </row>
    <row r="151" spans="1:14" s="653" customFormat="1" ht="30.75" customHeight="1" x14ac:dyDescent="0.2">
      <c r="A151" s="654" t="s">
        <v>975</v>
      </c>
      <c r="B151" s="655"/>
      <c r="C151" s="615"/>
      <c r="D151" s="615"/>
      <c r="E151" s="615">
        <v>22047</v>
      </c>
      <c r="F151" s="615"/>
      <c r="G151" s="615"/>
      <c r="H151" s="636">
        <f t="shared" si="33"/>
        <v>5952.6900000000005</v>
      </c>
      <c r="I151" s="616">
        <f t="shared" si="35"/>
        <v>27999.690000000002</v>
      </c>
      <c r="J151" s="643"/>
      <c r="K151" s="636"/>
      <c r="L151" s="636"/>
      <c r="M151" s="636"/>
      <c r="N151" s="610">
        <f t="shared" si="36"/>
        <v>0</v>
      </c>
    </row>
    <row r="152" spans="1:14" s="653" customFormat="1" x14ac:dyDescent="0.2">
      <c r="A152" s="654" t="s">
        <v>976</v>
      </c>
      <c r="B152" s="655"/>
      <c r="C152" s="615"/>
      <c r="D152" s="615"/>
      <c r="E152" s="615">
        <v>47244</v>
      </c>
      <c r="F152" s="615"/>
      <c r="G152" s="615"/>
      <c r="H152" s="636">
        <f t="shared" si="33"/>
        <v>12755.880000000001</v>
      </c>
      <c r="I152" s="616">
        <f t="shared" si="35"/>
        <v>59999.880000000005</v>
      </c>
      <c r="J152" s="643"/>
      <c r="K152" s="636"/>
      <c r="L152" s="636"/>
      <c r="M152" s="636"/>
      <c r="N152" s="610">
        <f t="shared" si="36"/>
        <v>0</v>
      </c>
    </row>
    <row r="153" spans="1:14" s="653" customFormat="1" x14ac:dyDescent="0.2">
      <c r="A153" s="654" t="s">
        <v>977</v>
      </c>
      <c r="B153" s="655"/>
      <c r="C153" s="615"/>
      <c r="D153" s="615"/>
      <c r="E153" s="615"/>
      <c r="F153" s="615"/>
      <c r="G153" s="615"/>
      <c r="H153" s="636">
        <f t="shared" si="33"/>
        <v>0</v>
      </c>
      <c r="I153" s="616">
        <f t="shared" si="35"/>
        <v>0</v>
      </c>
      <c r="J153" s="643"/>
      <c r="K153" s="636"/>
      <c r="L153" s="636"/>
      <c r="M153" s="636"/>
      <c r="N153" s="610">
        <f t="shared" si="36"/>
        <v>0</v>
      </c>
    </row>
    <row r="154" spans="1:14" s="653" customFormat="1" x14ac:dyDescent="0.2">
      <c r="A154" s="654" t="s">
        <v>978</v>
      </c>
      <c r="B154" s="655"/>
      <c r="C154" s="615"/>
      <c r="D154" s="615"/>
      <c r="E154" s="615">
        <v>22047</v>
      </c>
      <c r="F154" s="615"/>
      <c r="G154" s="615"/>
      <c r="H154" s="636">
        <f t="shared" si="33"/>
        <v>5952.6900000000005</v>
      </c>
      <c r="I154" s="616">
        <f t="shared" si="35"/>
        <v>27999.690000000002</v>
      </c>
      <c r="J154" s="643"/>
      <c r="K154" s="636"/>
      <c r="L154" s="636"/>
      <c r="M154" s="636"/>
      <c r="N154" s="610">
        <f t="shared" si="36"/>
        <v>0</v>
      </c>
    </row>
    <row r="155" spans="1:14" s="653" customFormat="1" x14ac:dyDescent="0.2">
      <c r="A155" s="654" t="s">
        <v>979</v>
      </c>
      <c r="B155" s="655"/>
      <c r="C155" s="615"/>
      <c r="D155" s="615"/>
      <c r="E155" s="615"/>
      <c r="F155" s="615"/>
      <c r="G155" s="615"/>
      <c r="H155" s="636">
        <f t="shared" si="33"/>
        <v>0</v>
      </c>
      <c r="I155" s="616">
        <f t="shared" si="35"/>
        <v>0</v>
      </c>
      <c r="J155" s="643"/>
      <c r="K155" s="636"/>
      <c r="L155" s="636"/>
      <c r="M155" s="636"/>
      <c r="N155" s="610">
        <f t="shared" si="36"/>
        <v>0</v>
      </c>
    </row>
    <row r="156" spans="1:14" s="653" customFormat="1" ht="25.5" x14ac:dyDescent="0.2">
      <c r="A156" s="654" t="s">
        <v>980</v>
      </c>
      <c r="B156" s="655"/>
      <c r="C156" s="615"/>
      <c r="D156" s="615"/>
      <c r="E156" s="615">
        <v>6299</v>
      </c>
      <c r="F156" s="615"/>
      <c r="G156" s="615"/>
      <c r="H156" s="636">
        <f t="shared" si="33"/>
        <v>1700.73</v>
      </c>
      <c r="I156" s="616">
        <f t="shared" si="35"/>
        <v>7999.73</v>
      </c>
      <c r="J156" s="643"/>
      <c r="K156" s="636"/>
      <c r="L156" s="636"/>
      <c r="M156" s="636"/>
      <c r="N156" s="610">
        <f t="shared" si="36"/>
        <v>0</v>
      </c>
    </row>
    <row r="157" spans="1:14" s="653" customFormat="1" x14ac:dyDescent="0.2">
      <c r="A157" s="654" t="s">
        <v>981</v>
      </c>
      <c r="B157" s="655"/>
      <c r="C157" s="615"/>
      <c r="D157" s="615"/>
      <c r="E157" s="615">
        <v>473</v>
      </c>
      <c r="F157" s="615"/>
      <c r="G157" s="615"/>
      <c r="H157" s="636">
        <f t="shared" si="33"/>
        <v>127.71000000000001</v>
      </c>
      <c r="I157" s="616">
        <f t="shared" si="35"/>
        <v>600.71</v>
      </c>
      <c r="J157" s="643"/>
      <c r="K157" s="636"/>
      <c r="L157" s="636"/>
      <c r="M157" s="636"/>
      <c r="N157" s="610">
        <f t="shared" si="36"/>
        <v>0</v>
      </c>
    </row>
    <row r="158" spans="1:14" s="653" customFormat="1" x14ac:dyDescent="0.2">
      <c r="A158" s="654" t="s">
        <v>982</v>
      </c>
      <c r="B158" s="655"/>
      <c r="C158" s="615"/>
      <c r="D158" s="615"/>
      <c r="E158" s="615">
        <v>1221</v>
      </c>
      <c r="F158" s="615"/>
      <c r="G158" s="615"/>
      <c r="H158" s="636">
        <f t="shared" si="33"/>
        <v>329.67</v>
      </c>
      <c r="I158" s="616">
        <f t="shared" si="35"/>
        <v>1550.67</v>
      </c>
      <c r="J158" s="643"/>
      <c r="K158" s="636"/>
      <c r="L158" s="636"/>
      <c r="M158" s="636"/>
      <c r="N158" s="610">
        <f t="shared" si="36"/>
        <v>0</v>
      </c>
    </row>
    <row r="159" spans="1:14" s="653" customFormat="1" x14ac:dyDescent="0.2">
      <c r="A159" s="654" t="s">
        <v>983</v>
      </c>
      <c r="B159" s="655"/>
      <c r="C159" s="615"/>
      <c r="D159" s="615"/>
      <c r="E159" s="615">
        <v>1024</v>
      </c>
      <c r="F159" s="615"/>
      <c r="G159" s="615"/>
      <c r="H159" s="636">
        <f t="shared" si="33"/>
        <v>276.48</v>
      </c>
      <c r="I159" s="616">
        <f t="shared" si="35"/>
        <v>1300.48</v>
      </c>
      <c r="J159" s="643"/>
      <c r="K159" s="636"/>
      <c r="L159" s="636"/>
      <c r="M159" s="636"/>
      <c r="N159" s="610">
        <f t="shared" si="36"/>
        <v>0</v>
      </c>
    </row>
    <row r="160" spans="1:14" s="653" customFormat="1" ht="25.5" x14ac:dyDescent="0.2">
      <c r="A160" s="654" t="s">
        <v>984</v>
      </c>
      <c r="B160" s="655"/>
      <c r="C160" s="615"/>
      <c r="D160" s="615"/>
      <c r="E160" s="615">
        <v>578</v>
      </c>
      <c r="F160" s="615"/>
      <c r="G160" s="615"/>
      <c r="H160" s="636">
        <f t="shared" si="33"/>
        <v>156.06</v>
      </c>
      <c r="I160" s="616">
        <f t="shared" si="35"/>
        <v>734.06</v>
      </c>
      <c r="J160" s="643"/>
      <c r="K160" s="636"/>
      <c r="L160" s="636"/>
      <c r="M160" s="636"/>
      <c r="N160" s="610">
        <f t="shared" si="36"/>
        <v>0</v>
      </c>
    </row>
    <row r="161" spans="1:14" s="653" customFormat="1" ht="13.5" thickBot="1" x14ac:dyDescent="0.25">
      <c r="A161" s="656" t="s">
        <v>201</v>
      </c>
      <c r="B161" s="655">
        <v>3823</v>
      </c>
      <c r="C161" s="615"/>
      <c r="D161" s="615">
        <v>2617</v>
      </c>
      <c r="E161" s="615">
        <v>3582</v>
      </c>
      <c r="F161" s="615"/>
      <c r="G161" s="615"/>
      <c r="H161" s="636">
        <f>((SUM(B161:G161))*0.27)</f>
        <v>2705.94</v>
      </c>
      <c r="I161" s="616">
        <f>SUM(B161:H161)</f>
        <v>12727.94</v>
      </c>
      <c r="J161" s="643"/>
      <c r="K161" s="636"/>
      <c r="L161" s="636"/>
      <c r="M161" s="636"/>
      <c r="N161" s="610">
        <f t="shared" si="36"/>
        <v>0</v>
      </c>
    </row>
    <row r="162" spans="1:14" s="659" customFormat="1" ht="30" customHeight="1" thickTop="1" x14ac:dyDescent="0.25">
      <c r="A162" s="625" t="s">
        <v>46</v>
      </c>
      <c r="B162" s="657">
        <f t="shared" ref="B162:H162" si="37">SUM(B167:B216)</f>
        <v>0</v>
      </c>
      <c r="C162" s="657">
        <f t="shared" si="37"/>
        <v>0</v>
      </c>
      <c r="D162" s="657">
        <f t="shared" si="37"/>
        <v>1000</v>
      </c>
      <c r="E162" s="657">
        <f t="shared" si="37"/>
        <v>7768</v>
      </c>
      <c r="F162" s="657">
        <f t="shared" si="37"/>
        <v>0</v>
      </c>
      <c r="G162" s="657">
        <f t="shared" si="37"/>
        <v>0</v>
      </c>
      <c r="H162" s="657">
        <f t="shared" si="37"/>
        <v>2366</v>
      </c>
      <c r="I162" s="657">
        <f>SUM(B162:H162)</f>
        <v>11134</v>
      </c>
      <c r="J162" s="658">
        <f>SUM(J163:J216)</f>
        <v>19294</v>
      </c>
      <c r="K162" s="658">
        <f>SUM(K163:K216)</f>
        <v>0</v>
      </c>
      <c r="L162" s="658">
        <f>SUM(L163:L216)</f>
        <v>0</v>
      </c>
      <c r="M162" s="658">
        <f>SUM(M163:M216)</f>
        <v>5206</v>
      </c>
      <c r="N162" s="629">
        <f>SUM(J162:M162)</f>
        <v>24500</v>
      </c>
    </row>
    <row r="163" spans="1:14" s="659" customFormat="1" x14ac:dyDescent="0.25">
      <c r="A163" s="644" t="s">
        <v>143</v>
      </c>
      <c r="B163" s="660"/>
      <c r="C163" s="661"/>
      <c r="D163" s="661"/>
      <c r="E163" s="661"/>
      <c r="F163" s="661"/>
      <c r="G163" s="661"/>
      <c r="H163" s="661"/>
      <c r="I163" s="662"/>
      <c r="J163" s="663"/>
      <c r="K163" s="661"/>
      <c r="L163" s="661"/>
      <c r="M163" s="661"/>
      <c r="N163" s="664"/>
    </row>
    <row r="164" spans="1:14" s="659" customFormat="1" hidden="1" x14ac:dyDescent="0.25">
      <c r="A164" s="648" t="s">
        <v>985</v>
      </c>
      <c r="B164" s="665"/>
      <c r="C164" s="646"/>
      <c r="D164" s="646"/>
      <c r="E164" s="646"/>
      <c r="F164" s="646"/>
      <c r="G164" s="646"/>
      <c r="H164" s="646"/>
      <c r="I164" s="647"/>
      <c r="J164" s="666"/>
      <c r="K164" s="649"/>
      <c r="L164" s="646"/>
      <c r="M164" s="666"/>
      <c r="N164" s="610">
        <f t="shared" ref="N164:N217" si="38">SUM(J164:M164)</f>
        <v>0</v>
      </c>
    </row>
    <row r="165" spans="1:14" s="659" customFormat="1" hidden="1" x14ac:dyDescent="0.25">
      <c r="A165" s="648" t="s">
        <v>986</v>
      </c>
      <c r="B165" s="665"/>
      <c r="C165" s="646"/>
      <c r="D165" s="646"/>
      <c r="E165" s="646"/>
      <c r="F165" s="646"/>
      <c r="G165" s="646"/>
      <c r="H165" s="646"/>
      <c r="I165" s="647"/>
      <c r="J165" s="666"/>
      <c r="K165" s="649"/>
      <c r="L165" s="646"/>
      <c r="M165" s="666"/>
      <c r="N165" s="610">
        <f t="shared" si="38"/>
        <v>0</v>
      </c>
    </row>
    <row r="166" spans="1:14" s="659" customFormat="1" x14ac:dyDescent="0.25">
      <c r="A166" s="648" t="s">
        <v>987</v>
      </c>
      <c r="B166" s="665"/>
      <c r="C166" s="646"/>
      <c r="D166" s="646"/>
      <c r="E166" s="646"/>
      <c r="F166" s="646"/>
      <c r="G166" s="646"/>
      <c r="H166" s="646"/>
      <c r="I166" s="647"/>
      <c r="J166" s="666">
        <v>1969</v>
      </c>
      <c r="K166" s="649"/>
      <c r="L166" s="646"/>
      <c r="M166" s="666">
        <v>531</v>
      </c>
      <c r="N166" s="610">
        <f t="shared" si="38"/>
        <v>2500</v>
      </c>
    </row>
    <row r="167" spans="1:14" ht="30.75" hidden="1" customHeight="1" x14ac:dyDescent="0.2">
      <c r="A167" s="645" t="s">
        <v>988</v>
      </c>
      <c r="B167" s="667"/>
      <c r="C167" s="650"/>
      <c r="D167" s="615"/>
      <c r="E167" s="650"/>
      <c r="F167" s="650"/>
      <c r="G167" s="650"/>
      <c r="H167" s="636"/>
      <c r="I167" s="647"/>
      <c r="J167" s="666"/>
      <c r="K167" s="643"/>
      <c r="L167" s="636"/>
      <c r="M167" s="666"/>
      <c r="N167" s="610">
        <f t="shared" si="38"/>
        <v>0</v>
      </c>
    </row>
    <row r="168" spans="1:14" x14ac:dyDescent="0.2">
      <c r="A168" s="644" t="s">
        <v>144</v>
      </c>
      <c r="B168" s="668"/>
      <c r="C168" s="669"/>
      <c r="D168" s="670"/>
      <c r="E168" s="669"/>
      <c r="F168" s="669"/>
      <c r="G168" s="669"/>
      <c r="H168" s="671"/>
      <c r="I168" s="662"/>
      <c r="J168" s="672"/>
      <c r="K168" s="672"/>
      <c r="L168" s="671"/>
      <c r="M168" s="672"/>
      <c r="N168" s="664"/>
    </row>
    <row r="169" spans="1:14" x14ac:dyDescent="0.2">
      <c r="A169" s="645" t="s">
        <v>989</v>
      </c>
      <c r="B169" s="667"/>
      <c r="C169" s="650"/>
      <c r="D169" s="615"/>
      <c r="E169" s="650"/>
      <c r="F169" s="650"/>
      <c r="G169" s="650"/>
      <c r="H169" s="636"/>
      <c r="I169" s="647"/>
      <c r="J169" s="643">
        <v>3150</v>
      </c>
      <c r="K169" s="643"/>
      <c r="L169" s="636"/>
      <c r="M169" s="643">
        <v>850</v>
      </c>
      <c r="N169" s="610">
        <f t="shared" si="38"/>
        <v>4000</v>
      </c>
    </row>
    <row r="170" spans="1:14" hidden="1" x14ac:dyDescent="0.2">
      <c r="A170" s="645" t="s">
        <v>990</v>
      </c>
      <c r="B170" s="667"/>
      <c r="C170" s="650"/>
      <c r="D170" s="615"/>
      <c r="E170" s="650"/>
      <c r="F170" s="650"/>
      <c r="G170" s="650"/>
      <c r="H170" s="636"/>
      <c r="I170" s="647"/>
      <c r="J170" s="643"/>
      <c r="K170" s="643"/>
      <c r="L170" s="636"/>
      <c r="M170" s="643"/>
      <c r="N170" s="610">
        <f t="shared" si="38"/>
        <v>0</v>
      </c>
    </row>
    <row r="171" spans="1:14" ht="25.5" hidden="1" x14ac:dyDescent="0.2">
      <c r="A171" s="645" t="s">
        <v>991</v>
      </c>
      <c r="B171" s="667"/>
      <c r="C171" s="650"/>
      <c r="D171" s="615"/>
      <c r="E171" s="650"/>
      <c r="F171" s="650"/>
      <c r="G171" s="650"/>
      <c r="H171" s="636"/>
      <c r="I171" s="647"/>
      <c r="J171" s="643"/>
      <c r="K171" s="643"/>
      <c r="L171" s="636"/>
      <c r="M171" s="643"/>
      <c r="N171" s="610">
        <f t="shared" si="38"/>
        <v>0</v>
      </c>
    </row>
    <row r="172" spans="1:14" ht="25.5" hidden="1" x14ac:dyDescent="0.2">
      <c r="A172" s="645" t="s">
        <v>992</v>
      </c>
      <c r="B172" s="667"/>
      <c r="C172" s="650"/>
      <c r="D172" s="615"/>
      <c r="E172" s="650"/>
      <c r="F172" s="650"/>
      <c r="G172" s="650"/>
      <c r="H172" s="636"/>
      <c r="I172" s="647"/>
      <c r="J172" s="643"/>
      <c r="K172" s="643"/>
      <c r="L172" s="636"/>
      <c r="M172" s="643"/>
      <c r="N172" s="610">
        <f t="shared" si="38"/>
        <v>0</v>
      </c>
    </row>
    <row r="173" spans="1:14" ht="25.5" hidden="1" x14ac:dyDescent="0.2">
      <c r="A173" s="645" t="s">
        <v>993</v>
      </c>
      <c r="B173" s="667"/>
      <c r="C173" s="650"/>
      <c r="D173" s="615"/>
      <c r="E173" s="650"/>
      <c r="F173" s="650"/>
      <c r="G173" s="650"/>
      <c r="H173" s="636"/>
      <c r="I173" s="647"/>
      <c r="J173" s="643"/>
      <c r="K173" s="643"/>
      <c r="L173" s="636"/>
      <c r="M173" s="643"/>
      <c r="N173" s="610">
        <f t="shared" si="38"/>
        <v>0</v>
      </c>
    </row>
    <row r="174" spans="1:14" ht="25.5" hidden="1" x14ac:dyDescent="0.2">
      <c r="A174" s="645" t="s">
        <v>994</v>
      </c>
      <c r="B174" s="667"/>
      <c r="C174" s="650"/>
      <c r="D174" s="615"/>
      <c r="E174" s="650"/>
      <c r="F174" s="650"/>
      <c r="G174" s="650"/>
      <c r="H174" s="636"/>
      <c r="I174" s="647"/>
      <c r="J174" s="643"/>
      <c r="K174" s="643"/>
      <c r="L174" s="636"/>
      <c r="M174" s="643"/>
      <c r="N174" s="610">
        <f t="shared" si="38"/>
        <v>0</v>
      </c>
    </row>
    <row r="175" spans="1:14" hidden="1" x14ac:dyDescent="0.2">
      <c r="A175" s="645" t="s">
        <v>995</v>
      </c>
      <c r="B175" s="667"/>
      <c r="C175" s="650"/>
      <c r="D175" s="615"/>
      <c r="E175" s="650"/>
      <c r="F175" s="650"/>
      <c r="G175" s="650"/>
      <c r="H175" s="636"/>
      <c r="I175" s="647"/>
      <c r="J175" s="643"/>
      <c r="K175" s="643"/>
      <c r="L175" s="636"/>
      <c r="M175" s="643"/>
      <c r="N175" s="610">
        <f t="shared" si="38"/>
        <v>0</v>
      </c>
    </row>
    <row r="176" spans="1:14" x14ac:dyDescent="0.2">
      <c r="A176" s="673" t="s">
        <v>996</v>
      </c>
      <c r="B176" s="668"/>
      <c r="C176" s="669"/>
      <c r="D176" s="670"/>
      <c r="E176" s="669"/>
      <c r="F176" s="669"/>
      <c r="G176" s="669"/>
      <c r="H176" s="671"/>
      <c r="I176" s="662"/>
      <c r="J176" s="672"/>
      <c r="K176" s="672"/>
      <c r="L176" s="671"/>
      <c r="M176" s="672"/>
      <c r="N176" s="664"/>
    </row>
    <row r="177" spans="1:14" x14ac:dyDescent="0.2">
      <c r="A177" s="645" t="s">
        <v>997</v>
      </c>
      <c r="B177" s="667"/>
      <c r="C177" s="650"/>
      <c r="D177" s="615"/>
      <c r="E177" s="650"/>
      <c r="F177" s="650"/>
      <c r="G177" s="650"/>
      <c r="H177" s="636"/>
      <c r="I177" s="647"/>
      <c r="J177" s="643">
        <v>3150</v>
      </c>
      <c r="K177" s="643"/>
      <c r="L177" s="636"/>
      <c r="M177" s="643">
        <v>850</v>
      </c>
      <c r="N177" s="610">
        <f t="shared" si="38"/>
        <v>4000</v>
      </c>
    </row>
    <row r="178" spans="1:14" hidden="1" x14ac:dyDescent="0.2">
      <c r="A178" s="645" t="s">
        <v>998</v>
      </c>
      <c r="B178" s="667"/>
      <c r="C178" s="650"/>
      <c r="D178" s="615"/>
      <c r="E178" s="650"/>
      <c r="F178" s="650"/>
      <c r="G178" s="650"/>
      <c r="H178" s="636"/>
      <c r="I178" s="647"/>
      <c r="J178" s="643"/>
      <c r="K178" s="643"/>
      <c r="L178" s="636"/>
      <c r="M178" s="643"/>
      <c r="N178" s="610">
        <f t="shared" si="38"/>
        <v>0</v>
      </c>
    </row>
    <row r="179" spans="1:14" x14ac:dyDescent="0.2">
      <c r="A179" s="644" t="s">
        <v>999</v>
      </c>
      <c r="B179" s="668"/>
      <c r="C179" s="669"/>
      <c r="D179" s="670"/>
      <c r="E179" s="669"/>
      <c r="F179" s="669"/>
      <c r="G179" s="669"/>
      <c r="H179" s="671"/>
      <c r="I179" s="662"/>
      <c r="J179" s="672"/>
      <c r="K179" s="672"/>
      <c r="L179" s="671"/>
      <c r="M179" s="672"/>
      <c r="N179" s="664"/>
    </row>
    <row r="180" spans="1:14" ht="25.5" hidden="1" x14ac:dyDescent="0.2">
      <c r="A180" s="648" t="s">
        <v>1000</v>
      </c>
      <c r="B180" s="667"/>
      <c r="C180" s="650"/>
      <c r="D180" s="615"/>
      <c r="E180" s="650"/>
      <c r="F180" s="650"/>
      <c r="G180" s="650"/>
      <c r="H180" s="636"/>
      <c r="I180" s="647"/>
      <c r="J180" s="643"/>
      <c r="K180" s="643"/>
      <c r="L180" s="636"/>
      <c r="M180" s="643"/>
      <c r="N180" s="610">
        <f t="shared" si="38"/>
        <v>0</v>
      </c>
    </row>
    <row r="181" spans="1:14" hidden="1" x14ac:dyDescent="0.2">
      <c r="A181" s="648" t="s">
        <v>1001</v>
      </c>
      <c r="B181" s="667"/>
      <c r="C181" s="650"/>
      <c r="D181" s="615"/>
      <c r="E181" s="650"/>
      <c r="F181" s="650"/>
      <c r="G181" s="650"/>
      <c r="H181" s="636"/>
      <c r="I181" s="647"/>
      <c r="J181" s="643"/>
      <c r="K181" s="643"/>
      <c r="L181" s="636"/>
      <c r="M181" s="643"/>
      <c r="N181" s="610">
        <f t="shared" si="38"/>
        <v>0</v>
      </c>
    </row>
    <row r="182" spans="1:14" ht="25.5" x14ac:dyDescent="0.2">
      <c r="A182" s="648" t="s">
        <v>1002</v>
      </c>
      <c r="B182" s="667"/>
      <c r="C182" s="650"/>
      <c r="D182" s="615"/>
      <c r="E182" s="650"/>
      <c r="F182" s="650"/>
      <c r="G182" s="650"/>
      <c r="H182" s="636"/>
      <c r="I182" s="647"/>
      <c r="J182" s="643">
        <v>1969</v>
      </c>
      <c r="K182" s="643"/>
      <c r="L182" s="636"/>
      <c r="M182" s="643">
        <v>531</v>
      </c>
      <c r="N182" s="610">
        <f t="shared" si="38"/>
        <v>2500</v>
      </c>
    </row>
    <row r="183" spans="1:14" hidden="1" x14ac:dyDescent="0.2">
      <c r="A183" s="648" t="s">
        <v>1003</v>
      </c>
      <c r="B183" s="667"/>
      <c r="C183" s="650"/>
      <c r="D183" s="615"/>
      <c r="E183" s="650"/>
      <c r="F183" s="650"/>
      <c r="G183" s="650"/>
      <c r="H183" s="636"/>
      <c r="I183" s="647"/>
      <c r="J183" s="643"/>
      <c r="K183" s="643"/>
      <c r="L183" s="636"/>
      <c r="M183" s="643"/>
      <c r="N183" s="610">
        <f t="shared" si="38"/>
        <v>0</v>
      </c>
    </row>
    <row r="184" spans="1:14" ht="25.5" hidden="1" x14ac:dyDescent="0.2">
      <c r="A184" s="648" t="s">
        <v>1004</v>
      </c>
      <c r="B184" s="667"/>
      <c r="C184" s="650"/>
      <c r="D184" s="615"/>
      <c r="E184" s="650"/>
      <c r="F184" s="650"/>
      <c r="G184" s="650"/>
      <c r="H184" s="636"/>
      <c r="I184" s="647"/>
      <c r="J184" s="643"/>
      <c r="K184" s="643"/>
      <c r="L184" s="636"/>
      <c r="M184" s="643"/>
      <c r="N184" s="610">
        <f t="shared" si="38"/>
        <v>0</v>
      </c>
    </row>
    <row r="185" spans="1:14" x14ac:dyDescent="0.2">
      <c r="A185" s="644" t="s">
        <v>1005</v>
      </c>
      <c r="B185" s="668"/>
      <c r="C185" s="669"/>
      <c r="D185" s="670"/>
      <c r="E185" s="669"/>
      <c r="F185" s="669"/>
      <c r="G185" s="669"/>
      <c r="H185" s="671"/>
      <c r="I185" s="662"/>
      <c r="J185" s="672"/>
      <c r="K185" s="672"/>
      <c r="L185" s="671"/>
      <c r="M185" s="672"/>
      <c r="N185" s="664"/>
    </row>
    <row r="186" spans="1:14" x14ac:dyDescent="0.2">
      <c r="A186" s="645" t="s">
        <v>1006</v>
      </c>
      <c r="B186" s="667"/>
      <c r="C186" s="650"/>
      <c r="D186" s="615"/>
      <c r="E186" s="650"/>
      <c r="F186" s="650"/>
      <c r="G186" s="650"/>
      <c r="H186" s="636"/>
      <c r="I186" s="647"/>
      <c r="J186" s="643">
        <v>1969</v>
      </c>
      <c r="K186" s="643"/>
      <c r="L186" s="636"/>
      <c r="M186" s="643">
        <v>531</v>
      </c>
      <c r="N186" s="610">
        <f t="shared" si="38"/>
        <v>2500</v>
      </c>
    </row>
    <row r="187" spans="1:14" hidden="1" x14ac:dyDescent="0.2">
      <c r="A187" s="645" t="s">
        <v>1007</v>
      </c>
      <c r="B187" s="667"/>
      <c r="C187" s="650"/>
      <c r="D187" s="615"/>
      <c r="E187" s="650"/>
      <c r="F187" s="650"/>
      <c r="G187" s="650"/>
      <c r="H187" s="636"/>
      <c r="I187" s="647"/>
      <c r="J187" s="643"/>
      <c r="K187" s="643"/>
      <c r="L187" s="636"/>
      <c r="M187" s="643"/>
      <c r="N187" s="610">
        <f t="shared" si="38"/>
        <v>0</v>
      </c>
    </row>
    <row r="188" spans="1:14" hidden="1" x14ac:dyDescent="0.2">
      <c r="A188" s="645" t="s">
        <v>985</v>
      </c>
      <c r="B188" s="667"/>
      <c r="C188" s="650"/>
      <c r="D188" s="615"/>
      <c r="E188" s="650"/>
      <c r="F188" s="650"/>
      <c r="G188" s="650"/>
      <c r="H188" s="636"/>
      <c r="I188" s="647"/>
      <c r="J188" s="643"/>
      <c r="K188" s="643"/>
      <c r="L188" s="636"/>
      <c r="M188" s="643"/>
      <c r="N188" s="610">
        <f t="shared" si="38"/>
        <v>0</v>
      </c>
    </row>
    <row r="189" spans="1:14" hidden="1" x14ac:dyDescent="0.2">
      <c r="A189" s="645" t="s">
        <v>1008</v>
      </c>
      <c r="B189" s="667"/>
      <c r="C189" s="650"/>
      <c r="D189" s="615"/>
      <c r="E189" s="650"/>
      <c r="F189" s="650"/>
      <c r="G189" s="650"/>
      <c r="H189" s="636"/>
      <c r="I189" s="647"/>
      <c r="J189" s="643"/>
      <c r="K189" s="643"/>
      <c r="L189" s="636"/>
      <c r="M189" s="643"/>
      <c r="N189" s="610">
        <f t="shared" si="38"/>
        <v>0</v>
      </c>
    </row>
    <row r="190" spans="1:14" x14ac:dyDescent="0.2">
      <c r="A190" s="644" t="s">
        <v>1009</v>
      </c>
      <c r="B190" s="668"/>
      <c r="C190" s="669"/>
      <c r="D190" s="670"/>
      <c r="E190" s="669"/>
      <c r="F190" s="669"/>
      <c r="G190" s="669"/>
      <c r="H190" s="671"/>
      <c r="I190" s="662"/>
      <c r="J190" s="672"/>
      <c r="K190" s="672"/>
      <c r="L190" s="671"/>
      <c r="M190" s="672"/>
      <c r="N190" s="664"/>
    </row>
    <row r="191" spans="1:14" x14ac:dyDescent="0.2">
      <c r="A191" s="645" t="s">
        <v>1010</v>
      </c>
      <c r="B191" s="667"/>
      <c r="C191" s="650"/>
      <c r="D191" s="615"/>
      <c r="E191" s="650"/>
      <c r="F191" s="650"/>
      <c r="G191" s="650"/>
      <c r="H191" s="636"/>
      <c r="I191" s="647"/>
      <c r="J191" s="643">
        <v>3937</v>
      </c>
      <c r="K191" s="643"/>
      <c r="L191" s="636"/>
      <c r="M191" s="643">
        <v>1063</v>
      </c>
      <c r="N191" s="610">
        <f t="shared" si="38"/>
        <v>5000</v>
      </c>
    </row>
    <row r="192" spans="1:14" hidden="1" x14ac:dyDescent="0.2">
      <c r="A192" s="645" t="s">
        <v>1011</v>
      </c>
      <c r="B192" s="667"/>
      <c r="C192" s="650"/>
      <c r="D192" s="615"/>
      <c r="E192" s="650"/>
      <c r="F192" s="650"/>
      <c r="G192" s="650"/>
      <c r="H192" s="636"/>
      <c r="I192" s="647"/>
      <c r="J192" s="643"/>
      <c r="K192" s="643"/>
      <c r="L192" s="636"/>
      <c r="M192" s="643"/>
      <c r="N192" s="610">
        <f t="shared" si="38"/>
        <v>0</v>
      </c>
    </row>
    <row r="193" spans="1:14" x14ac:dyDescent="0.2">
      <c r="A193" s="644" t="s">
        <v>146</v>
      </c>
      <c r="B193" s="668"/>
      <c r="C193" s="669"/>
      <c r="D193" s="670"/>
      <c r="E193" s="669"/>
      <c r="F193" s="669"/>
      <c r="G193" s="669"/>
      <c r="H193" s="671"/>
      <c r="I193" s="662"/>
      <c r="J193" s="672"/>
      <c r="K193" s="672"/>
      <c r="L193" s="671"/>
      <c r="M193" s="672"/>
      <c r="N193" s="664"/>
    </row>
    <row r="194" spans="1:14" hidden="1" x14ac:dyDescent="0.2">
      <c r="A194" s="645" t="s">
        <v>1012</v>
      </c>
      <c r="B194" s="667"/>
      <c r="C194" s="650"/>
      <c r="D194" s="615"/>
      <c r="E194" s="650"/>
      <c r="F194" s="650"/>
      <c r="G194" s="650"/>
      <c r="H194" s="636"/>
      <c r="I194" s="647"/>
      <c r="J194" s="643"/>
      <c r="K194" s="643"/>
      <c r="L194" s="636"/>
      <c r="M194" s="643"/>
      <c r="N194" s="610">
        <f t="shared" si="38"/>
        <v>0</v>
      </c>
    </row>
    <row r="195" spans="1:14" hidden="1" x14ac:dyDescent="0.2">
      <c r="A195" s="645" t="s">
        <v>1013</v>
      </c>
      <c r="B195" s="667"/>
      <c r="C195" s="650"/>
      <c r="D195" s="615"/>
      <c r="E195" s="650"/>
      <c r="F195" s="650"/>
      <c r="G195" s="650"/>
      <c r="H195" s="636"/>
      <c r="I195" s="647"/>
      <c r="J195" s="643"/>
      <c r="K195" s="643"/>
      <c r="L195" s="636"/>
      <c r="M195" s="643"/>
      <c r="N195" s="610">
        <f t="shared" si="38"/>
        <v>0</v>
      </c>
    </row>
    <row r="196" spans="1:14" x14ac:dyDescent="0.2">
      <c r="A196" s="645" t="s">
        <v>989</v>
      </c>
      <c r="B196" s="667"/>
      <c r="C196" s="650"/>
      <c r="D196" s="615"/>
      <c r="E196" s="650"/>
      <c r="F196" s="650"/>
      <c r="G196" s="650"/>
      <c r="H196" s="636"/>
      <c r="I196" s="647"/>
      <c r="J196" s="643">
        <v>3150</v>
      </c>
      <c r="K196" s="643"/>
      <c r="L196" s="636"/>
      <c r="M196" s="643">
        <v>850</v>
      </c>
      <c r="N196" s="610">
        <f t="shared" si="38"/>
        <v>4000</v>
      </c>
    </row>
    <row r="197" spans="1:14" hidden="1" x14ac:dyDescent="0.2">
      <c r="A197" s="645" t="s">
        <v>1014</v>
      </c>
      <c r="B197" s="667"/>
      <c r="C197" s="650"/>
      <c r="D197" s="615"/>
      <c r="E197" s="650"/>
      <c r="F197" s="650"/>
      <c r="G197" s="650"/>
      <c r="H197" s="636"/>
      <c r="I197" s="647"/>
      <c r="J197" s="643"/>
      <c r="K197" s="643"/>
      <c r="L197" s="636"/>
      <c r="M197" s="643"/>
      <c r="N197" s="610">
        <f t="shared" si="38"/>
        <v>0</v>
      </c>
    </row>
    <row r="198" spans="1:14" hidden="1" x14ac:dyDescent="0.2">
      <c r="A198" s="645" t="s">
        <v>1015</v>
      </c>
      <c r="B198" s="667"/>
      <c r="C198" s="650"/>
      <c r="D198" s="615"/>
      <c r="E198" s="650"/>
      <c r="F198" s="650"/>
      <c r="G198" s="650"/>
      <c r="H198" s="636"/>
      <c r="I198" s="647"/>
      <c r="J198" s="643"/>
      <c r="K198" s="643"/>
      <c r="L198" s="636"/>
      <c r="M198" s="643"/>
      <c r="N198" s="610">
        <f t="shared" si="38"/>
        <v>0</v>
      </c>
    </row>
    <row r="199" spans="1:14" hidden="1" x14ac:dyDescent="0.2">
      <c r="A199" s="645" t="s">
        <v>1016</v>
      </c>
      <c r="B199" s="667"/>
      <c r="C199" s="650"/>
      <c r="D199" s="615"/>
      <c r="E199" s="650"/>
      <c r="F199" s="650"/>
      <c r="G199" s="650"/>
      <c r="H199" s="636"/>
      <c r="I199" s="647"/>
      <c r="J199" s="643"/>
      <c r="K199" s="643"/>
      <c r="L199" s="636"/>
      <c r="M199" s="643"/>
      <c r="N199" s="610">
        <f t="shared" si="38"/>
        <v>0</v>
      </c>
    </row>
    <row r="200" spans="1:14" hidden="1" x14ac:dyDescent="0.2">
      <c r="A200" s="645" t="s">
        <v>1017</v>
      </c>
      <c r="B200" s="667"/>
      <c r="C200" s="650"/>
      <c r="D200" s="615"/>
      <c r="E200" s="650"/>
      <c r="F200" s="650"/>
      <c r="G200" s="650"/>
      <c r="H200" s="636"/>
      <c r="I200" s="647"/>
      <c r="J200" s="643"/>
      <c r="K200" s="643"/>
      <c r="L200" s="636"/>
      <c r="M200" s="643"/>
      <c r="N200" s="610">
        <f t="shared" si="38"/>
        <v>0</v>
      </c>
    </row>
    <row r="201" spans="1:14" x14ac:dyDescent="0.2">
      <c r="A201" s="645"/>
      <c r="B201" s="667"/>
      <c r="C201" s="650"/>
      <c r="D201" s="615"/>
      <c r="E201" s="650"/>
      <c r="F201" s="650"/>
      <c r="G201" s="650"/>
      <c r="H201" s="636"/>
      <c r="I201" s="647"/>
      <c r="J201" s="643"/>
      <c r="K201" s="643"/>
      <c r="L201" s="636"/>
      <c r="M201" s="643"/>
      <c r="N201" s="610">
        <f t="shared" si="38"/>
        <v>0</v>
      </c>
    </row>
    <row r="202" spans="1:14" x14ac:dyDescent="0.2">
      <c r="A202" s="644" t="s">
        <v>149</v>
      </c>
      <c r="B202" s="668"/>
      <c r="C202" s="669"/>
      <c r="D202" s="670"/>
      <c r="E202" s="669"/>
      <c r="F202" s="669"/>
      <c r="G202" s="669"/>
      <c r="H202" s="671"/>
      <c r="I202" s="662"/>
      <c r="J202" s="672"/>
      <c r="K202" s="672"/>
      <c r="L202" s="671"/>
      <c r="M202" s="672"/>
      <c r="N202" s="664"/>
    </row>
    <row r="203" spans="1:14" x14ac:dyDescent="0.2">
      <c r="A203" s="645" t="s">
        <v>1018</v>
      </c>
      <c r="B203" s="667"/>
      <c r="C203" s="650"/>
      <c r="D203" s="615">
        <v>1000</v>
      </c>
      <c r="E203" s="650"/>
      <c r="F203" s="650"/>
      <c r="G203" s="650"/>
      <c r="H203" s="636">
        <v>270</v>
      </c>
      <c r="I203" s="647">
        <f t="shared" ref="I203:I216" si="39">SUM(B203:H203)</f>
        <v>1270</v>
      </c>
      <c r="J203" s="643"/>
      <c r="K203" s="643"/>
      <c r="L203" s="636"/>
      <c r="M203" s="643"/>
      <c r="N203" s="610">
        <f t="shared" si="38"/>
        <v>0</v>
      </c>
    </row>
    <row r="204" spans="1:14" x14ac:dyDescent="0.2">
      <c r="A204" s="645" t="s">
        <v>1019</v>
      </c>
      <c r="B204" s="667"/>
      <c r="C204" s="650"/>
      <c r="D204" s="615"/>
      <c r="E204" s="650">
        <v>1024</v>
      </c>
      <c r="F204" s="650"/>
      <c r="G204" s="650"/>
      <c r="H204" s="636">
        <v>276</v>
      </c>
      <c r="I204" s="647">
        <f t="shared" si="39"/>
        <v>1300</v>
      </c>
      <c r="J204" s="643"/>
      <c r="K204" s="643"/>
      <c r="L204" s="636"/>
      <c r="M204" s="643"/>
      <c r="N204" s="610"/>
    </row>
    <row r="205" spans="1:14" x14ac:dyDescent="0.2">
      <c r="A205" s="645" t="s">
        <v>1020</v>
      </c>
      <c r="B205" s="667"/>
      <c r="C205" s="650"/>
      <c r="D205" s="615"/>
      <c r="E205" s="650">
        <v>472</v>
      </c>
      <c r="F205" s="650"/>
      <c r="G205" s="650"/>
      <c r="H205" s="636">
        <v>128</v>
      </c>
      <c r="I205" s="647">
        <f t="shared" si="39"/>
        <v>600</v>
      </c>
      <c r="J205" s="643"/>
      <c r="K205" s="643"/>
      <c r="L205" s="636"/>
      <c r="M205" s="643"/>
      <c r="N205" s="610"/>
    </row>
    <row r="206" spans="1:14" x14ac:dyDescent="0.2">
      <c r="A206" s="645" t="s">
        <v>1021</v>
      </c>
      <c r="B206" s="667"/>
      <c r="C206" s="650"/>
      <c r="D206" s="615"/>
      <c r="E206" s="650">
        <v>394</v>
      </c>
      <c r="F206" s="650"/>
      <c r="G206" s="650"/>
      <c r="H206" s="636">
        <v>106</v>
      </c>
      <c r="I206" s="647">
        <f t="shared" si="39"/>
        <v>500</v>
      </c>
      <c r="J206" s="643"/>
      <c r="K206" s="643"/>
      <c r="L206" s="636"/>
      <c r="M206" s="643"/>
      <c r="N206" s="610"/>
    </row>
    <row r="207" spans="1:14" x14ac:dyDescent="0.2">
      <c r="A207" s="645" t="s">
        <v>1022</v>
      </c>
      <c r="B207" s="667"/>
      <c r="C207" s="650"/>
      <c r="D207" s="615"/>
      <c r="E207" s="650"/>
      <c r="F207" s="650"/>
      <c r="G207" s="650"/>
      <c r="H207" s="636"/>
      <c r="I207" s="647">
        <f t="shared" si="39"/>
        <v>0</v>
      </c>
      <c r="J207" s="643"/>
      <c r="K207" s="643"/>
      <c r="L207" s="636"/>
      <c r="M207" s="643"/>
      <c r="N207" s="610"/>
    </row>
    <row r="208" spans="1:14" x14ac:dyDescent="0.2">
      <c r="A208" s="645" t="s">
        <v>1023</v>
      </c>
      <c r="B208" s="667"/>
      <c r="C208" s="650"/>
      <c r="D208" s="615"/>
      <c r="E208" s="650">
        <v>866</v>
      </c>
      <c r="F208" s="650"/>
      <c r="G208" s="650"/>
      <c r="H208" s="636">
        <v>234</v>
      </c>
      <c r="I208" s="647">
        <f t="shared" si="39"/>
        <v>1100</v>
      </c>
      <c r="J208" s="643"/>
      <c r="K208" s="643"/>
      <c r="L208" s="636"/>
      <c r="M208" s="643"/>
      <c r="N208" s="610">
        <f t="shared" si="38"/>
        <v>0</v>
      </c>
    </row>
    <row r="209" spans="1:14" x14ac:dyDescent="0.2">
      <c r="A209" s="645" t="s">
        <v>1024</v>
      </c>
      <c r="B209" s="667"/>
      <c r="C209" s="650"/>
      <c r="D209" s="615"/>
      <c r="E209" s="650">
        <v>315</v>
      </c>
      <c r="F209" s="650"/>
      <c r="G209" s="650"/>
      <c r="H209" s="636">
        <v>85</v>
      </c>
      <c r="I209" s="647">
        <f t="shared" si="39"/>
        <v>400</v>
      </c>
      <c r="J209" s="643"/>
      <c r="K209" s="643"/>
      <c r="L209" s="636"/>
      <c r="M209" s="643"/>
      <c r="N209" s="610">
        <f t="shared" si="38"/>
        <v>0</v>
      </c>
    </row>
    <row r="210" spans="1:14" x14ac:dyDescent="0.2">
      <c r="A210" s="645" t="s">
        <v>1025</v>
      </c>
      <c r="B210" s="667"/>
      <c r="C210" s="650"/>
      <c r="D210" s="615"/>
      <c r="E210" s="650">
        <v>615</v>
      </c>
      <c r="F210" s="650"/>
      <c r="G210" s="650"/>
      <c r="H210" s="636">
        <v>166</v>
      </c>
      <c r="I210" s="647">
        <f t="shared" si="39"/>
        <v>781</v>
      </c>
      <c r="J210" s="643"/>
      <c r="K210" s="643"/>
      <c r="L210" s="636"/>
      <c r="M210" s="643"/>
      <c r="N210" s="610">
        <f t="shared" si="38"/>
        <v>0</v>
      </c>
    </row>
    <row r="211" spans="1:14" x14ac:dyDescent="0.2">
      <c r="A211" s="645" t="s">
        <v>1026</v>
      </c>
      <c r="B211" s="667"/>
      <c r="C211" s="650"/>
      <c r="D211" s="615"/>
      <c r="E211" s="650"/>
      <c r="F211" s="650"/>
      <c r="G211" s="650"/>
      <c r="H211" s="636"/>
      <c r="I211" s="647">
        <f t="shared" si="39"/>
        <v>0</v>
      </c>
      <c r="J211" s="643"/>
      <c r="K211" s="643"/>
      <c r="L211" s="636"/>
      <c r="M211" s="643"/>
      <c r="N211" s="610"/>
    </row>
    <row r="212" spans="1:14" x14ac:dyDescent="0.2">
      <c r="A212" s="645" t="s">
        <v>1027</v>
      </c>
      <c r="B212" s="667"/>
      <c r="C212" s="650"/>
      <c r="D212" s="615"/>
      <c r="E212" s="650">
        <v>213</v>
      </c>
      <c r="F212" s="650"/>
      <c r="G212" s="650"/>
      <c r="H212" s="636">
        <v>58</v>
      </c>
      <c r="I212" s="647">
        <f t="shared" si="39"/>
        <v>271</v>
      </c>
      <c r="J212" s="643"/>
      <c r="K212" s="643"/>
      <c r="L212" s="636"/>
      <c r="M212" s="643"/>
      <c r="N212" s="610"/>
    </row>
    <row r="213" spans="1:14" x14ac:dyDescent="0.2">
      <c r="A213" s="645" t="s">
        <v>1028</v>
      </c>
      <c r="B213" s="667"/>
      <c r="C213" s="650"/>
      <c r="D213" s="615"/>
      <c r="E213" s="650">
        <v>268</v>
      </c>
      <c r="F213" s="650"/>
      <c r="G213" s="650"/>
      <c r="H213" s="636">
        <v>72</v>
      </c>
      <c r="I213" s="647">
        <f t="shared" si="39"/>
        <v>340</v>
      </c>
      <c r="J213" s="643"/>
      <c r="K213" s="643"/>
      <c r="L213" s="636"/>
      <c r="M213" s="643"/>
      <c r="N213" s="610"/>
    </row>
    <row r="214" spans="1:14" x14ac:dyDescent="0.2">
      <c r="A214" s="645" t="s">
        <v>1029</v>
      </c>
      <c r="B214" s="667"/>
      <c r="C214" s="650"/>
      <c r="D214" s="615"/>
      <c r="E214" s="650">
        <v>235</v>
      </c>
      <c r="F214" s="650"/>
      <c r="G214" s="650"/>
      <c r="H214" s="636">
        <v>64</v>
      </c>
      <c r="I214" s="647">
        <f t="shared" si="39"/>
        <v>299</v>
      </c>
      <c r="J214" s="643"/>
      <c r="K214" s="643"/>
      <c r="L214" s="636"/>
      <c r="M214" s="643"/>
      <c r="N214" s="610"/>
    </row>
    <row r="215" spans="1:14" x14ac:dyDescent="0.2">
      <c r="A215" s="645" t="s">
        <v>1030</v>
      </c>
      <c r="B215" s="667"/>
      <c r="C215" s="650"/>
      <c r="D215" s="615"/>
      <c r="E215" s="650">
        <v>213</v>
      </c>
      <c r="F215" s="650"/>
      <c r="G215" s="650"/>
      <c r="H215" s="636">
        <v>57</v>
      </c>
      <c r="I215" s="647">
        <f t="shared" si="39"/>
        <v>270</v>
      </c>
      <c r="J215" s="643"/>
      <c r="K215" s="643"/>
      <c r="L215" s="636"/>
      <c r="M215" s="643"/>
      <c r="N215" s="610"/>
    </row>
    <row r="216" spans="1:14" ht="13.5" thickBot="1" x14ac:dyDescent="0.25">
      <c r="A216" s="645" t="s">
        <v>202</v>
      </c>
      <c r="B216" s="667"/>
      <c r="C216" s="650"/>
      <c r="D216" s="615"/>
      <c r="E216" s="650">
        <v>3153</v>
      </c>
      <c r="F216" s="650"/>
      <c r="G216" s="650"/>
      <c r="H216" s="636">
        <v>850</v>
      </c>
      <c r="I216" s="647">
        <f t="shared" si="39"/>
        <v>4003</v>
      </c>
      <c r="J216" s="643"/>
      <c r="K216" s="643"/>
      <c r="L216" s="636"/>
      <c r="M216" s="643"/>
      <c r="N216" s="610">
        <f t="shared" si="38"/>
        <v>0</v>
      </c>
    </row>
    <row r="217" spans="1:14" s="678" customFormat="1" ht="30.75" customHeight="1" thickTop="1" x14ac:dyDescent="0.25">
      <c r="A217" s="674" t="s">
        <v>47</v>
      </c>
      <c r="B217" s="675">
        <f t="shared" ref="B217:H217" si="40">SUM(B218:B237)</f>
        <v>0</v>
      </c>
      <c r="C217" s="675">
        <f t="shared" si="40"/>
        <v>0</v>
      </c>
      <c r="D217" s="675">
        <f t="shared" si="40"/>
        <v>591</v>
      </c>
      <c r="E217" s="675">
        <f t="shared" si="40"/>
        <v>5647</v>
      </c>
      <c r="F217" s="675">
        <f t="shared" si="40"/>
        <v>0</v>
      </c>
      <c r="G217" s="675">
        <f t="shared" si="40"/>
        <v>0</v>
      </c>
      <c r="H217" s="675">
        <f t="shared" si="40"/>
        <v>1721</v>
      </c>
      <c r="I217" s="676">
        <f t="shared" si="32"/>
        <v>7959</v>
      </c>
      <c r="J217" s="677">
        <f>SUM(J218:J237)</f>
        <v>37638</v>
      </c>
      <c r="K217" s="677">
        <f>SUM(K218:K237)</f>
        <v>0</v>
      </c>
      <c r="L217" s="677">
        <f>SUM(L218:L237)</f>
        <v>0</v>
      </c>
      <c r="M217" s="677">
        <f>SUM(M218:M237)</f>
        <v>10162</v>
      </c>
      <c r="N217" s="629">
        <f t="shared" si="38"/>
        <v>47800</v>
      </c>
    </row>
    <row r="218" spans="1:14" s="678" customFormat="1" x14ac:dyDescent="0.2">
      <c r="A218" s="644" t="s">
        <v>1031</v>
      </c>
      <c r="B218" s="679"/>
      <c r="C218" s="680"/>
      <c r="D218" s="680"/>
      <c r="E218" s="680"/>
      <c r="F218" s="680"/>
      <c r="G218" s="680"/>
      <c r="H218" s="680"/>
      <c r="I218" s="681"/>
      <c r="J218" s="672"/>
      <c r="K218" s="672"/>
      <c r="L218" s="672"/>
      <c r="M218" s="672"/>
      <c r="N218" s="664"/>
    </row>
    <row r="219" spans="1:14" s="678" customFormat="1" ht="38.25" x14ac:dyDescent="0.2">
      <c r="A219" s="645" t="s">
        <v>1032</v>
      </c>
      <c r="B219" s="605"/>
      <c r="C219" s="606"/>
      <c r="D219" s="606"/>
      <c r="E219" s="606"/>
      <c r="F219" s="606"/>
      <c r="G219" s="606"/>
      <c r="H219" s="606"/>
      <c r="I219" s="607"/>
      <c r="J219" s="643">
        <v>28346</v>
      </c>
      <c r="K219" s="643"/>
      <c r="L219" s="643"/>
      <c r="M219" s="643">
        <v>7654</v>
      </c>
      <c r="N219" s="610">
        <f t="shared" ref="N219:N256" si="41">SUM(J219:M219)</f>
        <v>36000</v>
      </c>
    </row>
    <row r="220" spans="1:14" s="678" customFormat="1" ht="25.5" hidden="1" x14ac:dyDescent="0.2">
      <c r="A220" s="645" t="s">
        <v>1033</v>
      </c>
      <c r="B220" s="605"/>
      <c r="C220" s="606"/>
      <c r="D220" s="606"/>
      <c r="E220" s="606"/>
      <c r="F220" s="606"/>
      <c r="G220" s="606"/>
      <c r="H220" s="606"/>
      <c r="I220" s="607"/>
      <c r="J220" s="643"/>
      <c r="K220" s="643"/>
      <c r="L220" s="643"/>
      <c r="M220" s="643"/>
      <c r="N220" s="610">
        <f t="shared" si="41"/>
        <v>0</v>
      </c>
    </row>
    <row r="221" spans="1:14" s="678" customFormat="1" hidden="1" x14ac:dyDescent="0.2">
      <c r="A221" s="645" t="s">
        <v>1034</v>
      </c>
      <c r="B221" s="605"/>
      <c r="C221" s="606"/>
      <c r="D221" s="606"/>
      <c r="E221" s="606"/>
      <c r="F221" s="606"/>
      <c r="G221" s="606"/>
      <c r="H221" s="606"/>
      <c r="I221" s="607"/>
      <c r="J221" s="643"/>
      <c r="K221" s="643"/>
      <c r="L221" s="643"/>
      <c r="M221" s="643"/>
      <c r="N221" s="610">
        <f t="shared" si="41"/>
        <v>0</v>
      </c>
    </row>
    <row r="222" spans="1:14" s="678" customFormat="1" x14ac:dyDescent="0.2">
      <c r="A222" s="673" t="s">
        <v>146</v>
      </c>
      <c r="B222" s="679"/>
      <c r="C222" s="680"/>
      <c r="D222" s="680"/>
      <c r="E222" s="680"/>
      <c r="F222" s="680"/>
      <c r="G222" s="680"/>
      <c r="H222" s="680"/>
      <c r="I222" s="681"/>
      <c r="J222" s="672"/>
      <c r="K222" s="672"/>
      <c r="L222" s="672"/>
      <c r="M222" s="672"/>
      <c r="N222" s="664">
        <f t="shared" si="41"/>
        <v>0</v>
      </c>
    </row>
    <row r="223" spans="1:14" s="678" customFormat="1" x14ac:dyDescent="0.2">
      <c r="A223" s="645" t="s">
        <v>208</v>
      </c>
      <c r="B223" s="605"/>
      <c r="C223" s="606"/>
      <c r="D223" s="606"/>
      <c r="E223" s="606"/>
      <c r="F223" s="606"/>
      <c r="G223" s="606"/>
      <c r="H223" s="606"/>
      <c r="I223" s="607"/>
      <c r="J223" s="643">
        <v>630</v>
      </c>
      <c r="K223" s="643"/>
      <c r="L223" s="643"/>
      <c r="M223" s="643">
        <v>170</v>
      </c>
      <c r="N223" s="610">
        <v>800</v>
      </c>
    </row>
    <row r="224" spans="1:14" s="678" customFormat="1" x14ac:dyDescent="0.2">
      <c r="A224" s="645" t="s">
        <v>1035</v>
      </c>
      <c r="B224" s="605"/>
      <c r="C224" s="606"/>
      <c r="D224" s="606"/>
      <c r="E224" s="606"/>
      <c r="F224" s="606"/>
      <c r="G224" s="606"/>
      <c r="H224" s="606"/>
      <c r="I224" s="607"/>
      <c r="J224" s="643">
        <v>4331</v>
      </c>
      <c r="K224" s="643"/>
      <c r="L224" s="643"/>
      <c r="M224" s="643">
        <v>1169</v>
      </c>
      <c r="N224" s="610">
        <v>5500</v>
      </c>
    </row>
    <row r="225" spans="1:14" s="678" customFormat="1" x14ac:dyDescent="0.2">
      <c r="A225" s="645" t="s">
        <v>1036</v>
      </c>
      <c r="B225" s="605"/>
      <c r="C225" s="606"/>
      <c r="D225" s="606"/>
      <c r="E225" s="606"/>
      <c r="F225" s="606"/>
      <c r="G225" s="606"/>
      <c r="H225" s="606"/>
      <c r="I225" s="607"/>
      <c r="J225" s="643">
        <v>0</v>
      </c>
      <c r="K225" s="643"/>
      <c r="L225" s="643"/>
      <c r="M225" s="643"/>
      <c r="N225" s="610">
        <v>4500</v>
      </c>
    </row>
    <row r="226" spans="1:14" s="678" customFormat="1" x14ac:dyDescent="0.2">
      <c r="A226" s="645" t="s">
        <v>1037</v>
      </c>
      <c r="B226" s="605"/>
      <c r="C226" s="606"/>
      <c r="D226" s="606"/>
      <c r="E226" s="606"/>
      <c r="F226" s="606"/>
      <c r="G226" s="606"/>
      <c r="H226" s="606"/>
      <c r="I226" s="607"/>
      <c r="J226" s="643">
        <v>1575</v>
      </c>
      <c r="K226" s="643"/>
      <c r="L226" s="643"/>
      <c r="M226" s="643">
        <v>425</v>
      </c>
      <c r="N226" s="610">
        <f t="shared" si="41"/>
        <v>2000</v>
      </c>
    </row>
    <row r="227" spans="1:14" s="678" customFormat="1" x14ac:dyDescent="0.25">
      <c r="A227" s="644" t="s">
        <v>151</v>
      </c>
      <c r="B227" s="679"/>
      <c r="C227" s="680"/>
      <c r="D227" s="680"/>
      <c r="E227" s="680"/>
      <c r="F227" s="680"/>
      <c r="G227" s="680"/>
      <c r="H227" s="680"/>
      <c r="I227" s="681"/>
      <c r="J227" s="682"/>
      <c r="K227" s="682"/>
      <c r="L227" s="680"/>
      <c r="M227" s="682"/>
      <c r="N227" s="664"/>
    </row>
    <row r="228" spans="1:14" s="678" customFormat="1" x14ac:dyDescent="0.2">
      <c r="A228" s="645" t="s">
        <v>1038</v>
      </c>
      <c r="B228" s="605"/>
      <c r="C228" s="606"/>
      <c r="D228" s="606"/>
      <c r="E228" s="606"/>
      <c r="F228" s="606"/>
      <c r="G228" s="606"/>
      <c r="H228" s="606"/>
      <c r="I228" s="607"/>
      <c r="J228" s="643">
        <v>2756</v>
      </c>
      <c r="K228" s="643"/>
      <c r="L228" s="643"/>
      <c r="M228" s="643">
        <v>744</v>
      </c>
      <c r="N228" s="610">
        <f>SUM(J228:M228)</f>
        <v>3500</v>
      </c>
    </row>
    <row r="229" spans="1:14" s="678" customFormat="1" hidden="1" x14ac:dyDescent="0.2">
      <c r="A229" s="645" t="s">
        <v>1039</v>
      </c>
      <c r="B229" s="605"/>
      <c r="C229" s="606"/>
      <c r="D229" s="606"/>
      <c r="E229" s="606"/>
      <c r="F229" s="606"/>
      <c r="G229" s="606"/>
      <c r="H229" s="606"/>
      <c r="I229" s="607"/>
      <c r="J229" s="643"/>
      <c r="K229" s="643"/>
      <c r="L229" s="643"/>
      <c r="M229" s="643"/>
      <c r="N229" s="610">
        <f t="shared" si="41"/>
        <v>0</v>
      </c>
    </row>
    <row r="230" spans="1:14" s="678" customFormat="1" hidden="1" x14ac:dyDescent="0.2">
      <c r="A230" s="645"/>
      <c r="B230" s="605"/>
      <c r="C230" s="606"/>
      <c r="D230" s="606"/>
      <c r="E230" s="606"/>
      <c r="F230" s="606"/>
      <c r="G230" s="606"/>
      <c r="H230" s="606"/>
      <c r="I230" s="607"/>
      <c r="J230" s="643"/>
      <c r="K230" s="643"/>
      <c r="L230" s="643"/>
      <c r="M230" s="643"/>
      <c r="N230" s="610">
        <f t="shared" si="41"/>
        <v>0</v>
      </c>
    </row>
    <row r="231" spans="1:14" s="678" customFormat="1" x14ac:dyDescent="0.2">
      <c r="A231" s="644" t="s">
        <v>149</v>
      </c>
      <c r="B231" s="679"/>
      <c r="C231" s="680"/>
      <c r="D231" s="680"/>
      <c r="E231" s="680"/>
      <c r="F231" s="680"/>
      <c r="G231" s="680"/>
      <c r="H231" s="680"/>
      <c r="I231" s="681"/>
      <c r="J231" s="672"/>
      <c r="K231" s="672"/>
      <c r="L231" s="672"/>
      <c r="M231" s="672"/>
      <c r="N231" s="664"/>
    </row>
    <row r="232" spans="1:14" s="678" customFormat="1" x14ac:dyDescent="0.2">
      <c r="A232" s="645" t="s">
        <v>1040</v>
      </c>
      <c r="B232" s="643"/>
      <c r="C232" s="643"/>
      <c r="D232" s="643"/>
      <c r="E232" s="643">
        <v>252</v>
      </c>
      <c r="F232" s="643"/>
      <c r="G232" s="643"/>
      <c r="H232" s="643">
        <v>68</v>
      </c>
      <c r="I232" s="607">
        <f t="shared" ref="I232:I237" si="42">SUM(B232:H232)</f>
        <v>320</v>
      </c>
      <c r="J232" s="643"/>
      <c r="K232" s="643"/>
      <c r="L232" s="643"/>
      <c r="M232" s="643"/>
      <c r="N232" s="610">
        <f t="shared" si="41"/>
        <v>0</v>
      </c>
    </row>
    <row r="233" spans="1:14" s="678" customFormat="1" x14ac:dyDescent="0.2">
      <c r="A233" s="645" t="s">
        <v>1041</v>
      </c>
      <c r="B233" s="643"/>
      <c r="C233" s="643"/>
      <c r="D233" s="643"/>
      <c r="E233" s="643">
        <v>748</v>
      </c>
      <c r="F233" s="643"/>
      <c r="G233" s="643"/>
      <c r="H233" s="643">
        <v>202</v>
      </c>
      <c r="I233" s="607">
        <f t="shared" si="42"/>
        <v>950</v>
      </c>
      <c r="J233" s="643"/>
      <c r="K233" s="643"/>
      <c r="L233" s="643"/>
      <c r="M233" s="643"/>
      <c r="N233" s="610">
        <f t="shared" si="41"/>
        <v>0</v>
      </c>
    </row>
    <row r="234" spans="1:14" s="678" customFormat="1" ht="25.5" x14ac:dyDescent="0.2">
      <c r="A234" s="645" t="s">
        <v>1042</v>
      </c>
      <c r="B234" s="643"/>
      <c r="C234" s="643"/>
      <c r="D234" s="643"/>
      <c r="E234" s="643">
        <v>734</v>
      </c>
      <c r="F234" s="643"/>
      <c r="G234" s="643"/>
      <c r="H234" s="643">
        <v>236</v>
      </c>
      <c r="I234" s="607">
        <f t="shared" si="42"/>
        <v>970</v>
      </c>
      <c r="J234" s="609"/>
      <c r="K234" s="609"/>
      <c r="L234" s="606"/>
      <c r="M234" s="609"/>
      <c r="N234" s="610">
        <f t="shared" si="41"/>
        <v>0</v>
      </c>
    </row>
    <row r="235" spans="1:14" x14ac:dyDescent="0.2">
      <c r="A235" s="683" t="s">
        <v>1043</v>
      </c>
      <c r="B235" s="643"/>
      <c r="C235" s="643"/>
      <c r="D235" s="643">
        <v>591</v>
      </c>
      <c r="E235" s="643"/>
      <c r="F235" s="643"/>
      <c r="G235" s="643"/>
      <c r="H235" s="643">
        <v>159</v>
      </c>
      <c r="I235" s="607">
        <f t="shared" si="42"/>
        <v>750</v>
      </c>
      <c r="J235" s="640"/>
      <c r="N235" s="610">
        <f t="shared" si="41"/>
        <v>0</v>
      </c>
    </row>
    <row r="236" spans="1:14" x14ac:dyDescent="0.2">
      <c r="A236" s="645" t="s">
        <v>1044</v>
      </c>
      <c r="B236" s="643"/>
      <c r="C236" s="643"/>
      <c r="D236" s="643"/>
      <c r="E236" s="643">
        <v>3913</v>
      </c>
      <c r="F236" s="643"/>
      <c r="G236" s="643"/>
      <c r="H236" s="643">
        <v>1056</v>
      </c>
      <c r="I236" s="607">
        <f t="shared" si="42"/>
        <v>4969</v>
      </c>
      <c r="J236" s="643"/>
      <c r="K236" s="636"/>
      <c r="L236" s="636"/>
      <c r="M236" s="643"/>
      <c r="N236" s="610">
        <f t="shared" si="41"/>
        <v>0</v>
      </c>
    </row>
    <row r="237" spans="1:14" ht="13.5" thickBot="1" x14ac:dyDescent="0.25">
      <c r="A237" s="645"/>
      <c r="B237" s="643"/>
      <c r="C237" s="643"/>
      <c r="D237" s="643"/>
      <c r="E237" s="643"/>
      <c r="F237" s="643"/>
      <c r="G237" s="643"/>
      <c r="H237" s="643"/>
      <c r="I237" s="607">
        <f t="shared" si="42"/>
        <v>0</v>
      </c>
      <c r="J237" s="643"/>
      <c r="K237" s="636"/>
      <c r="L237" s="636"/>
      <c r="M237" s="643"/>
      <c r="N237" s="610">
        <f t="shared" si="41"/>
        <v>0</v>
      </c>
    </row>
    <row r="238" spans="1:14" s="659" customFormat="1" ht="31.5" customHeight="1" thickTop="1" x14ac:dyDescent="0.25">
      <c r="A238" s="625" t="s">
        <v>48</v>
      </c>
      <c r="B238" s="657">
        <f t="shared" ref="B238:H238" si="43">SUM(B239:B255)</f>
        <v>0</v>
      </c>
      <c r="C238" s="657">
        <f t="shared" si="43"/>
        <v>0</v>
      </c>
      <c r="D238" s="657">
        <f t="shared" si="43"/>
        <v>1870</v>
      </c>
      <c r="E238" s="657">
        <f t="shared" si="43"/>
        <v>2089</v>
      </c>
      <c r="F238" s="657">
        <f t="shared" si="43"/>
        <v>0</v>
      </c>
      <c r="G238" s="657">
        <f t="shared" si="43"/>
        <v>0</v>
      </c>
      <c r="H238" s="657">
        <f t="shared" si="43"/>
        <v>1068</v>
      </c>
      <c r="I238" s="684">
        <f t="shared" si="32"/>
        <v>5027</v>
      </c>
      <c r="J238" s="658">
        <f>SUM(J239:J255)</f>
        <v>5969</v>
      </c>
      <c r="K238" s="658">
        <f>SUM(K239:K255)</f>
        <v>0</v>
      </c>
      <c r="L238" s="658">
        <f>SUM(L239:L255)</f>
        <v>0</v>
      </c>
      <c r="M238" s="658">
        <f>SUM(M239:M255)</f>
        <v>1611</v>
      </c>
      <c r="N238" s="629">
        <f t="shared" si="41"/>
        <v>7580</v>
      </c>
    </row>
    <row r="239" spans="1:14" ht="13.5" x14ac:dyDescent="0.25">
      <c r="A239" s="644" t="s">
        <v>152</v>
      </c>
      <c r="B239" s="685"/>
      <c r="C239" s="686"/>
      <c r="D239" s="686"/>
      <c r="E239" s="687"/>
      <c r="F239" s="686"/>
      <c r="G239" s="686"/>
      <c r="H239" s="688"/>
      <c r="I239" s="689"/>
      <c r="J239" s="690"/>
      <c r="K239" s="688"/>
      <c r="L239" s="688"/>
      <c r="M239" s="688"/>
      <c r="N239" s="664"/>
    </row>
    <row r="240" spans="1:14" ht="13.5" x14ac:dyDescent="0.25">
      <c r="A240" s="654" t="s">
        <v>1045</v>
      </c>
      <c r="B240" s="691"/>
      <c r="C240" s="692"/>
      <c r="D240" s="692"/>
      <c r="E240" s="615"/>
      <c r="F240" s="692"/>
      <c r="G240" s="692"/>
      <c r="H240" s="636"/>
      <c r="I240" s="616">
        <f t="shared" ref="I240:I255" si="44">SUM(B240:H240)</f>
        <v>0</v>
      </c>
      <c r="J240" s="643">
        <v>1969</v>
      </c>
      <c r="K240" s="636"/>
      <c r="L240" s="636"/>
      <c r="M240" s="636">
        <v>531</v>
      </c>
      <c r="N240" s="610">
        <f t="shared" ref="N240:N255" si="45">SUM(J240:M240)</f>
        <v>2500</v>
      </c>
    </row>
    <row r="241" spans="1:14" ht="13.5" x14ac:dyDescent="0.25">
      <c r="A241" s="654" t="s">
        <v>1046</v>
      </c>
      <c r="B241" s="691"/>
      <c r="C241" s="692"/>
      <c r="D241" s="692"/>
      <c r="E241" s="615"/>
      <c r="F241" s="692"/>
      <c r="G241" s="692"/>
      <c r="H241" s="636"/>
      <c r="I241" s="616"/>
      <c r="J241" s="643"/>
      <c r="K241" s="636"/>
      <c r="L241" s="636"/>
      <c r="M241" s="636"/>
      <c r="N241" s="610">
        <f t="shared" si="45"/>
        <v>0</v>
      </c>
    </row>
    <row r="242" spans="1:14" ht="13.5" hidden="1" x14ac:dyDescent="0.25">
      <c r="A242" s="654" t="s">
        <v>1047</v>
      </c>
      <c r="B242" s="691"/>
      <c r="C242" s="692"/>
      <c r="D242" s="692"/>
      <c r="E242" s="615"/>
      <c r="F242" s="692"/>
      <c r="G242" s="692"/>
      <c r="H242" s="636"/>
      <c r="I242" s="616"/>
      <c r="J242" s="643"/>
      <c r="K242" s="636"/>
      <c r="L242" s="636"/>
      <c r="M242" s="636"/>
      <c r="N242" s="610">
        <f t="shared" si="45"/>
        <v>0</v>
      </c>
    </row>
    <row r="243" spans="1:14" ht="13.5" hidden="1" x14ac:dyDescent="0.25">
      <c r="A243" s="654" t="s">
        <v>1048</v>
      </c>
      <c r="B243" s="691"/>
      <c r="C243" s="692"/>
      <c r="D243" s="692"/>
      <c r="E243" s="615"/>
      <c r="F243" s="692"/>
      <c r="G243" s="692"/>
      <c r="H243" s="636"/>
      <c r="I243" s="616"/>
      <c r="J243" s="643"/>
      <c r="K243" s="636"/>
      <c r="L243" s="636"/>
      <c r="M243" s="636"/>
      <c r="N243" s="610">
        <f t="shared" si="45"/>
        <v>0</v>
      </c>
    </row>
    <row r="244" spans="1:14" ht="13.5" x14ac:dyDescent="0.25">
      <c r="A244" s="644" t="s">
        <v>153</v>
      </c>
      <c r="B244" s="693"/>
      <c r="C244" s="694"/>
      <c r="D244" s="694"/>
      <c r="E244" s="670"/>
      <c r="F244" s="694"/>
      <c r="G244" s="694"/>
      <c r="H244" s="671"/>
      <c r="I244" s="689"/>
      <c r="J244" s="672"/>
      <c r="K244" s="671"/>
      <c r="L244" s="671"/>
      <c r="M244" s="671"/>
      <c r="N244" s="664"/>
    </row>
    <row r="245" spans="1:14" ht="13.5" x14ac:dyDescent="0.25">
      <c r="A245" s="654" t="s">
        <v>1049</v>
      </c>
      <c r="B245" s="691"/>
      <c r="C245" s="692"/>
      <c r="D245" s="692"/>
      <c r="E245" s="615"/>
      <c r="F245" s="692"/>
      <c r="G245" s="692"/>
      <c r="H245" s="636"/>
      <c r="I245" s="616">
        <f t="shared" si="44"/>
        <v>0</v>
      </c>
      <c r="J245" s="643">
        <v>4000</v>
      </c>
      <c r="K245" s="636"/>
      <c r="L245" s="636"/>
      <c r="M245" s="636">
        <v>1080</v>
      </c>
      <c r="N245" s="610">
        <f t="shared" si="45"/>
        <v>5080</v>
      </c>
    </row>
    <row r="246" spans="1:14" ht="13.5" x14ac:dyDescent="0.25">
      <c r="A246" s="654" t="s">
        <v>1050</v>
      </c>
      <c r="B246" s="691"/>
      <c r="C246" s="692"/>
      <c r="D246" s="692"/>
      <c r="E246" s="615"/>
      <c r="F246" s="692"/>
      <c r="G246" s="692"/>
      <c r="H246" s="636"/>
      <c r="I246" s="616">
        <f t="shared" si="44"/>
        <v>0</v>
      </c>
      <c r="J246" s="643"/>
      <c r="K246" s="636"/>
      <c r="L246" s="636"/>
      <c r="M246" s="636"/>
      <c r="N246" s="610">
        <f t="shared" si="45"/>
        <v>0</v>
      </c>
    </row>
    <row r="247" spans="1:14" ht="13.5" hidden="1" x14ac:dyDescent="0.25">
      <c r="A247" s="644" t="s">
        <v>154</v>
      </c>
      <c r="B247" s="693"/>
      <c r="C247" s="694"/>
      <c r="D247" s="694"/>
      <c r="E247" s="670"/>
      <c r="F247" s="694"/>
      <c r="G247" s="694"/>
      <c r="H247" s="671"/>
      <c r="I247" s="689"/>
      <c r="J247" s="672"/>
      <c r="K247" s="671"/>
      <c r="L247" s="671"/>
      <c r="M247" s="671"/>
      <c r="N247" s="664"/>
    </row>
    <row r="248" spans="1:14" ht="13.5" hidden="1" x14ac:dyDescent="0.25">
      <c r="A248" s="654" t="s">
        <v>1051</v>
      </c>
      <c r="B248" s="691"/>
      <c r="C248" s="692"/>
      <c r="D248" s="692"/>
      <c r="E248" s="615"/>
      <c r="F248" s="692"/>
      <c r="G248" s="692"/>
      <c r="H248" s="636"/>
      <c r="I248" s="616">
        <f t="shared" si="44"/>
        <v>0</v>
      </c>
      <c r="J248" s="643"/>
      <c r="K248" s="636"/>
      <c r="L248" s="636"/>
      <c r="M248" s="636"/>
      <c r="N248" s="610">
        <f t="shared" si="45"/>
        <v>0</v>
      </c>
    </row>
    <row r="249" spans="1:14" ht="13.5" hidden="1" x14ac:dyDescent="0.25">
      <c r="A249" s="656" t="s">
        <v>1052</v>
      </c>
      <c r="B249" s="693"/>
      <c r="C249" s="694"/>
      <c r="D249" s="694"/>
      <c r="E249" s="670"/>
      <c r="F249" s="694"/>
      <c r="G249" s="694"/>
      <c r="H249" s="671"/>
      <c r="I249" s="689"/>
      <c r="J249" s="672"/>
      <c r="K249" s="671"/>
      <c r="L249" s="671"/>
      <c r="M249" s="671"/>
      <c r="N249" s="664"/>
    </row>
    <row r="250" spans="1:14" ht="13.5" hidden="1" x14ac:dyDescent="0.25">
      <c r="A250" s="654" t="s">
        <v>1053</v>
      </c>
      <c r="B250" s="691"/>
      <c r="C250" s="692"/>
      <c r="D250" s="692"/>
      <c r="E250" s="615"/>
      <c r="F250" s="692"/>
      <c r="G250" s="692"/>
      <c r="H250" s="636"/>
      <c r="I250" s="616">
        <f t="shared" si="44"/>
        <v>0</v>
      </c>
      <c r="J250" s="643"/>
      <c r="K250" s="636"/>
      <c r="L250" s="636"/>
      <c r="M250" s="636"/>
      <c r="N250" s="610">
        <f t="shared" si="45"/>
        <v>0</v>
      </c>
    </row>
    <row r="251" spans="1:14" ht="13.5" hidden="1" x14ac:dyDescent="0.25">
      <c r="A251" s="654" t="s">
        <v>1054</v>
      </c>
      <c r="B251" s="691"/>
      <c r="C251" s="692"/>
      <c r="D251" s="692"/>
      <c r="E251" s="615"/>
      <c r="F251" s="692"/>
      <c r="G251" s="692"/>
      <c r="H251" s="636"/>
      <c r="I251" s="616">
        <f t="shared" si="44"/>
        <v>0</v>
      </c>
      <c r="J251" s="643"/>
      <c r="K251" s="636"/>
      <c r="L251" s="636"/>
      <c r="M251" s="636"/>
      <c r="N251" s="610">
        <f t="shared" si="45"/>
        <v>0</v>
      </c>
    </row>
    <row r="252" spans="1:14" ht="13.5" x14ac:dyDescent="0.25">
      <c r="A252" s="644" t="s">
        <v>149</v>
      </c>
      <c r="B252" s="693"/>
      <c r="C252" s="694"/>
      <c r="D252" s="694"/>
      <c r="E252" s="670"/>
      <c r="F252" s="694"/>
      <c r="G252" s="694"/>
      <c r="H252" s="671"/>
      <c r="I252" s="689"/>
      <c r="J252" s="672"/>
      <c r="K252" s="671"/>
      <c r="L252" s="671"/>
      <c r="M252" s="671"/>
      <c r="N252" s="664"/>
    </row>
    <row r="253" spans="1:14" ht="13.5" x14ac:dyDescent="0.25">
      <c r="A253" s="648" t="s">
        <v>1055</v>
      </c>
      <c r="B253" s="691"/>
      <c r="C253" s="692"/>
      <c r="D253" s="692"/>
      <c r="E253" s="615">
        <v>394</v>
      </c>
      <c r="F253" s="692"/>
      <c r="G253" s="692"/>
      <c r="H253" s="636">
        <v>106</v>
      </c>
      <c r="I253" s="616">
        <f t="shared" si="44"/>
        <v>500</v>
      </c>
      <c r="J253" s="643"/>
      <c r="K253" s="636"/>
      <c r="L253" s="636"/>
      <c r="M253" s="636"/>
      <c r="N253" s="610"/>
    </row>
    <row r="254" spans="1:14" ht="13.5" x14ac:dyDescent="0.25">
      <c r="A254" s="654" t="s">
        <v>1056</v>
      </c>
      <c r="B254" s="691"/>
      <c r="C254" s="692"/>
      <c r="D254" s="692"/>
      <c r="E254" s="615">
        <v>394</v>
      </c>
      <c r="F254" s="692"/>
      <c r="G254" s="692"/>
      <c r="H254" s="636">
        <v>106</v>
      </c>
      <c r="I254" s="616">
        <f t="shared" si="44"/>
        <v>500</v>
      </c>
      <c r="J254" s="643"/>
      <c r="K254" s="636"/>
      <c r="L254" s="636"/>
      <c r="M254" s="636"/>
      <c r="N254" s="610">
        <f t="shared" si="45"/>
        <v>0</v>
      </c>
    </row>
    <row r="255" spans="1:14" ht="14.25" thickBot="1" x14ac:dyDescent="0.3">
      <c r="A255" s="654" t="s">
        <v>201</v>
      </c>
      <c r="B255" s="691"/>
      <c r="C255" s="692"/>
      <c r="D255" s="615">
        <v>1870</v>
      </c>
      <c r="E255" s="615">
        <v>1301</v>
      </c>
      <c r="F255" s="692"/>
      <c r="G255" s="692"/>
      <c r="H255" s="636">
        <v>856</v>
      </c>
      <c r="I255" s="616">
        <f t="shared" si="44"/>
        <v>4027</v>
      </c>
      <c r="J255" s="643"/>
      <c r="K255" s="636"/>
      <c r="L255" s="636"/>
      <c r="M255" s="636"/>
      <c r="N255" s="610">
        <f t="shared" si="45"/>
        <v>0</v>
      </c>
    </row>
    <row r="256" spans="1:14" s="659" customFormat="1" ht="28.35" customHeight="1" thickTop="1" x14ac:dyDescent="0.25">
      <c r="A256" s="625" t="s">
        <v>150</v>
      </c>
      <c r="B256" s="657">
        <f t="shared" ref="B256:H256" si="46">SUM(B257:B265)</f>
        <v>0</v>
      </c>
      <c r="C256" s="657">
        <f t="shared" si="46"/>
        <v>0</v>
      </c>
      <c r="D256" s="657">
        <f t="shared" si="46"/>
        <v>0</v>
      </c>
      <c r="E256" s="657">
        <f t="shared" si="46"/>
        <v>1590</v>
      </c>
      <c r="F256" s="657">
        <f t="shared" si="46"/>
        <v>0</v>
      </c>
      <c r="G256" s="657">
        <f t="shared" si="46"/>
        <v>0</v>
      </c>
      <c r="H256" s="657">
        <f t="shared" si="46"/>
        <v>429</v>
      </c>
      <c r="I256" s="684">
        <f t="shared" si="32"/>
        <v>2019</v>
      </c>
      <c r="J256" s="657">
        <f>SUM(J257:J265)</f>
        <v>18321</v>
      </c>
      <c r="K256" s="657">
        <f>SUM(K257:K265)</f>
        <v>0</v>
      </c>
      <c r="L256" s="657">
        <f>SUM(L257:L265)</f>
        <v>0</v>
      </c>
      <c r="M256" s="657">
        <f>SUM(M257:M265)</f>
        <v>4947</v>
      </c>
      <c r="N256" s="629">
        <f t="shared" si="41"/>
        <v>23268</v>
      </c>
    </row>
    <row r="257" spans="1:14" s="659" customFormat="1" ht="25.5" x14ac:dyDescent="0.2">
      <c r="A257" s="654" t="s">
        <v>1057</v>
      </c>
      <c r="B257" s="665"/>
      <c r="C257" s="646"/>
      <c r="D257" s="646"/>
      <c r="E257" s="646"/>
      <c r="F257" s="646"/>
      <c r="G257" s="646"/>
      <c r="H257" s="646"/>
      <c r="I257" s="647">
        <f>SUM(B257:H257)</f>
        <v>0</v>
      </c>
      <c r="J257" s="643">
        <v>7874</v>
      </c>
      <c r="K257" s="643"/>
      <c r="L257" s="643"/>
      <c r="M257" s="643">
        <v>2126</v>
      </c>
      <c r="N257" s="610">
        <f>SUM(J257:M257)</f>
        <v>10000</v>
      </c>
    </row>
    <row r="258" spans="1:14" s="659" customFormat="1" x14ac:dyDescent="0.2">
      <c r="A258" s="654" t="s">
        <v>1058</v>
      </c>
      <c r="B258" s="665"/>
      <c r="C258" s="646"/>
      <c r="D258" s="646"/>
      <c r="E258" s="646"/>
      <c r="F258" s="646"/>
      <c r="G258" s="646"/>
      <c r="H258" s="646"/>
      <c r="I258" s="647"/>
      <c r="J258" s="643">
        <v>236</v>
      </c>
      <c r="K258" s="643"/>
      <c r="L258" s="643"/>
      <c r="M258" s="643">
        <v>64</v>
      </c>
      <c r="N258" s="610">
        <f t="shared" ref="N258:N261" si="47">SUM(J258:M258)</f>
        <v>300</v>
      </c>
    </row>
    <row r="259" spans="1:14" s="659" customFormat="1" x14ac:dyDescent="0.2">
      <c r="A259" s="654" t="s">
        <v>1059</v>
      </c>
      <c r="B259" s="665"/>
      <c r="C259" s="646"/>
      <c r="D259" s="646"/>
      <c r="E259" s="646"/>
      <c r="F259" s="646"/>
      <c r="G259" s="646"/>
      <c r="H259" s="646"/>
      <c r="I259" s="647"/>
      <c r="J259" s="643">
        <v>1260</v>
      </c>
      <c r="K259" s="643"/>
      <c r="L259" s="643"/>
      <c r="M259" s="643">
        <v>340</v>
      </c>
      <c r="N259" s="610">
        <f t="shared" si="47"/>
        <v>1600</v>
      </c>
    </row>
    <row r="260" spans="1:14" s="659" customFormat="1" x14ac:dyDescent="0.2">
      <c r="A260" s="654" t="s">
        <v>1060</v>
      </c>
      <c r="B260" s="665"/>
      <c r="C260" s="646"/>
      <c r="D260" s="646"/>
      <c r="E260" s="646"/>
      <c r="F260" s="646"/>
      <c r="G260" s="646"/>
      <c r="H260" s="646"/>
      <c r="I260" s="647"/>
      <c r="J260" s="643">
        <v>236</v>
      </c>
      <c r="K260" s="643"/>
      <c r="L260" s="643"/>
      <c r="M260" s="643">
        <v>64</v>
      </c>
      <c r="N260" s="610">
        <f t="shared" si="47"/>
        <v>300</v>
      </c>
    </row>
    <row r="261" spans="1:14" s="659" customFormat="1" x14ac:dyDescent="0.2">
      <c r="A261" s="654" t="s">
        <v>1061</v>
      </c>
      <c r="B261" s="665"/>
      <c r="C261" s="646"/>
      <c r="D261" s="646"/>
      <c r="E261" s="646"/>
      <c r="F261" s="646"/>
      <c r="G261" s="646"/>
      <c r="H261" s="646"/>
      <c r="I261" s="647"/>
      <c r="J261" s="643">
        <v>8715</v>
      </c>
      <c r="K261" s="643"/>
      <c r="L261" s="643"/>
      <c r="M261" s="643">
        <v>2353</v>
      </c>
      <c r="N261" s="610">
        <f t="shared" si="47"/>
        <v>11068</v>
      </c>
    </row>
    <row r="262" spans="1:14" s="659" customFormat="1" x14ac:dyDescent="0.2">
      <c r="A262" s="644" t="s">
        <v>149</v>
      </c>
      <c r="B262" s="660"/>
      <c r="C262" s="661"/>
      <c r="D262" s="661"/>
      <c r="E262" s="670"/>
      <c r="F262" s="670"/>
      <c r="G262" s="670"/>
      <c r="H262" s="670"/>
      <c r="I262" s="662"/>
      <c r="J262" s="663"/>
      <c r="K262" s="661"/>
      <c r="L262" s="661"/>
      <c r="M262" s="661"/>
      <c r="N262" s="664"/>
    </row>
    <row r="263" spans="1:14" s="659" customFormat="1" ht="25.5" x14ac:dyDescent="0.2">
      <c r="A263" s="654" t="s">
        <v>1062</v>
      </c>
      <c r="B263" s="665"/>
      <c r="C263" s="646"/>
      <c r="D263" s="646"/>
      <c r="E263" s="615">
        <v>236</v>
      </c>
      <c r="F263" s="650"/>
      <c r="G263" s="650"/>
      <c r="H263" s="650">
        <v>64</v>
      </c>
      <c r="I263" s="647">
        <f t="shared" ref="I263:I265" si="48">SUM(B263:H263)</f>
        <v>300</v>
      </c>
      <c r="J263" s="643"/>
      <c r="K263" s="643"/>
      <c r="L263" s="643"/>
      <c r="M263" s="643"/>
      <c r="N263" s="610">
        <f t="shared" ref="N263:N265" si="49">SUM(J263:M263)</f>
        <v>0</v>
      </c>
    </row>
    <row r="264" spans="1:14" s="659" customFormat="1" x14ac:dyDescent="0.2">
      <c r="A264" s="654" t="s">
        <v>206</v>
      </c>
      <c r="B264" s="665"/>
      <c r="C264" s="646"/>
      <c r="D264" s="646"/>
      <c r="E264" s="615">
        <v>331</v>
      </c>
      <c r="F264" s="615"/>
      <c r="G264" s="615"/>
      <c r="H264" s="615">
        <v>89</v>
      </c>
      <c r="I264" s="647">
        <f t="shared" si="48"/>
        <v>420</v>
      </c>
      <c r="J264" s="649"/>
      <c r="K264" s="646"/>
      <c r="L264" s="646"/>
      <c r="M264" s="646"/>
      <c r="N264" s="610">
        <f t="shared" si="49"/>
        <v>0</v>
      </c>
    </row>
    <row r="265" spans="1:14" s="659" customFormat="1" x14ac:dyDescent="0.2">
      <c r="A265" s="654" t="s">
        <v>200</v>
      </c>
      <c r="B265" s="665"/>
      <c r="C265" s="646"/>
      <c r="D265" s="646"/>
      <c r="E265" s="615">
        <v>1023</v>
      </c>
      <c r="F265" s="615"/>
      <c r="G265" s="615"/>
      <c r="H265" s="615">
        <v>276</v>
      </c>
      <c r="I265" s="647">
        <f t="shared" si="48"/>
        <v>1299</v>
      </c>
      <c r="J265" s="649"/>
      <c r="K265" s="646"/>
      <c r="L265" s="646"/>
      <c r="M265" s="646"/>
      <c r="N265" s="695">
        <f t="shared" si="49"/>
        <v>0</v>
      </c>
    </row>
    <row r="266" spans="1:14" s="678" customFormat="1" ht="30" hidden="1" customHeight="1" thickTop="1" x14ac:dyDescent="0.25">
      <c r="A266" s="625" t="s">
        <v>49</v>
      </c>
      <c r="B266" s="696">
        <f t="shared" ref="B266:H266" si="50">SUM(B267:B269)</f>
        <v>0</v>
      </c>
      <c r="C266" s="696">
        <f t="shared" si="50"/>
        <v>0</v>
      </c>
      <c r="D266" s="696">
        <f t="shared" si="50"/>
        <v>0</v>
      </c>
      <c r="E266" s="696">
        <f t="shared" si="50"/>
        <v>0</v>
      </c>
      <c r="F266" s="696">
        <f t="shared" si="50"/>
        <v>0</v>
      </c>
      <c r="G266" s="696">
        <f t="shared" si="50"/>
        <v>0</v>
      </c>
      <c r="H266" s="696">
        <f t="shared" si="50"/>
        <v>0</v>
      </c>
      <c r="I266" s="697">
        <f t="shared" si="32"/>
        <v>0</v>
      </c>
      <c r="J266" s="696">
        <f>SUM(J267:J269)</f>
        <v>0</v>
      </c>
      <c r="K266" s="696">
        <f>SUM(K267:K269)</f>
        <v>0</v>
      </c>
      <c r="L266" s="696">
        <f>SUM(L267:L269)</f>
        <v>0</v>
      </c>
      <c r="M266" s="696">
        <f>SUM(M267:M269)</f>
        <v>0</v>
      </c>
      <c r="N266" s="698">
        <f>SUM(N267:N269)</f>
        <v>0</v>
      </c>
    </row>
    <row r="267" spans="1:14" s="678" customFormat="1" hidden="1" x14ac:dyDescent="0.2">
      <c r="A267" s="644" t="s">
        <v>200</v>
      </c>
      <c r="B267" s="699"/>
      <c r="C267" s="700"/>
      <c r="D267" s="615"/>
      <c r="E267" s="615"/>
      <c r="F267" s="700"/>
      <c r="G267" s="700"/>
      <c r="H267" s="615"/>
      <c r="I267" s="701">
        <f t="shared" ref="I267:I268" si="51">SUM(B267:H267)</f>
        <v>0</v>
      </c>
      <c r="J267" s="702"/>
      <c r="K267" s="700"/>
      <c r="L267" s="700"/>
      <c r="M267" s="700"/>
      <c r="N267" s="703"/>
    </row>
    <row r="268" spans="1:14" s="678" customFormat="1" ht="30" hidden="1" customHeight="1" x14ac:dyDescent="0.2">
      <c r="A268" s="654" t="s">
        <v>207</v>
      </c>
      <c r="B268" s="699"/>
      <c r="C268" s="700"/>
      <c r="D268" s="615"/>
      <c r="E268" s="615"/>
      <c r="F268" s="615"/>
      <c r="G268" s="615"/>
      <c r="H268" s="615"/>
      <c r="I268" s="701">
        <f t="shared" si="51"/>
        <v>0</v>
      </c>
      <c r="J268" s="702"/>
      <c r="K268" s="700"/>
      <c r="L268" s="700"/>
      <c r="M268" s="700"/>
      <c r="N268" s="703"/>
    </row>
    <row r="269" spans="1:14" s="678" customFormat="1" ht="13.5" thickBot="1" x14ac:dyDescent="0.25">
      <c r="A269" s="704"/>
      <c r="B269" s="705"/>
      <c r="C269" s="706"/>
      <c r="D269" s="707"/>
      <c r="E269" s="707"/>
      <c r="F269" s="707"/>
      <c r="G269" s="707"/>
      <c r="H269" s="707"/>
      <c r="I269" s="708"/>
      <c r="J269" s="709"/>
      <c r="K269" s="706"/>
      <c r="L269" s="706"/>
      <c r="M269" s="706"/>
      <c r="N269" s="710"/>
    </row>
    <row r="270" spans="1:14" x14ac:dyDescent="0.2">
      <c r="A270" s="711"/>
      <c r="B270" s="636"/>
      <c r="C270" s="636"/>
      <c r="D270" s="636"/>
      <c r="E270" s="636"/>
      <c r="F270" s="636"/>
      <c r="G270" s="636"/>
      <c r="H270" s="636"/>
      <c r="I270" s="712"/>
      <c r="J270" s="636"/>
      <c r="K270" s="636"/>
      <c r="L270" s="636"/>
      <c r="M270" s="636"/>
      <c r="N270" s="712"/>
    </row>
  </sheetData>
  <sortState ref="A41:N56">
    <sortCondition ref="A41"/>
  </sortState>
  <mergeCells count="2">
    <mergeCell ref="B1:I1"/>
    <mergeCell ref="J1:N1"/>
  </mergeCells>
  <pageMargins left="0.27559055118110237" right="0.15748031496062992" top="0.43307086614173229" bottom="0.27559055118110237" header="0.19685039370078741" footer="0.15748031496062992"/>
  <pageSetup paperSize="9" scale="75" orientation="landscape" r:id="rId1"/>
  <headerFooter>
    <oddHeader>&amp;R4. melléklet az .../2021. (XII. .....) önkormányzati rendelethez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0"/>
  <sheetViews>
    <sheetView zoomScaleNormal="100" zoomScaleSheetLayoutView="100" workbookViewId="0">
      <selection activeCell="O4" sqref="O4"/>
    </sheetView>
  </sheetViews>
  <sheetFormatPr defaultColWidth="9.140625" defaultRowHeight="15.75" x14ac:dyDescent="0.25"/>
  <cols>
    <col min="1" max="1" width="40.7109375" style="109" customWidth="1"/>
    <col min="2" max="8" width="11.85546875" style="127" customWidth="1"/>
    <col min="9" max="9" width="11.85546875" style="174" customWidth="1"/>
    <col min="10" max="13" width="11.85546875" style="127" customWidth="1"/>
    <col min="14" max="14" width="11.85546875" style="174" customWidth="1"/>
    <col min="15" max="15" width="16.140625" style="129" customWidth="1"/>
    <col min="16" max="16" width="13" style="129" customWidth="1"/>
    <col min="17" max="17" width="14.7109375" style="129" customWidth="1"/>
    <col min="18" max="18" width="11.28515625" style="129" customWidth="1"/>
    <col min="19" max="19" width="32" style="129" customWidth="1"/>
    <col min="20" max="16384" width="9.140625" style="129"/>
  </cols>
  <sheetData>
    <row r="1" spans="1:18" s="99" customFormat="1" ht="31.5" customHeight="1" x14ac:dyDescent="0.25">
      <c r="A1" s="229"/>
      <c r="B1" s="828" t="s">
        <v>5</v>
      </c>
      <c r="C1" s="826"/>
      <c r="D1" s="826"/>
      <c r="E1" s="826"/>
      <c r="F1" s="826"/>
      <c r="G1" s="826"/>
      <c r="H1" s="826"/>
      <c r="I1" s="827"/>
      <c r="J1" s="825" t="s">
        <v>6</v>
      </c>
      <c r="K1" s="826"/>
      <c r="L1" s="826"/>
      <c r="M1" s="826"/>
      <c r="N1" s="827"/>
      <c r="O1" s="226"/>
    </row>
    <row r="2" spans="1:18" s="99" customFormat="1" ht="31.5" customHeight="1" x14ac:dyDescent="0.25">
      <c r="A2" s="230"/>
      <c r="B2" s="100" t="s">
        <v>59</v>
      </c>
      <c r="C2" s="101" t="s">
        <v>60</v>
      </c>
      <c r="D2" s="101" t="s">
        <v>61</v>
      </c>
      <c r="E2" s="101" t="s">
        <v>62</v>
      </c>
      <c r="F2" s="101" t="s">
        <v>63</v>
      </c>
      <c r="G2" s="101" t="s">
        <v>64</v>
      </c>
      <c r="H2" s="101" t="s">
        <v>65</v>
      </c>
      <c r="I2" s="102" t="s">
        <v>26</v>
      </c>
      <c r="J2" s="103" t="s">
        <v>66</v>
      </c>
      <c r="K2" s="101" t="s">
        <v>67</v>
      </c>
      <c r="L2" s="101" t="s">
        <v>68</v>
      </c>
      <c r="M2" s="101" t="s">
        <v>69</v>
      </c>
      <c r="N2" s="102" t="s">
        <v>27</v>
      </c>
      <c r="O2" s="226"/>
    </row>
    <row r="3" spans="1:18" s="109" customFormat="1" ht="47.25" x14ac:dyDescent="0.25">
      <c r="A3" s="231"/>
      <c r="B3" s="104" t="s">
        <v>78</v>
      </c>
      <c r="C3" s="105" t="s">
        <v>79</v>
      </c>
      <c r="D3" s="105" t="s">
        <v>80</v>
      </c>
      <c r="E3" s="105" t="s">
        <v>81</v>
      </c>
      <c r="F3" s="105" t="s">
        <v>82</v>
      </c>
      <c r="G3" s="105" t="s">
        <v>83</v>
      </c>
      <c r="H3" s="105" t="s">
        <v>84</v>
      </c>
      <c r="I3" s="106" t="s">
        <v>70</v>
      </c>
      <c r="J3" s="107" t="s">
        <v>79</v>
      </c>
      <c r="K3" s="105" t="s">
        <v>80</v>
      </c>
      <c r="L3" s="105" t="s">
        <v>85</v>
      </c>
      <c r="M3" s="105" t="s">
        <v>84</v>
      </c>
      <c r="N3" s="106" t="s">
        <v>70</v>
      </c>
      <c r="O3" s="227"/>
      <c r="P3" s="108"/>
      <c r="Q3" s="108"/>
      <c r="R3" s="108"/>
    </row>
    <row r="4" spans="1:18" s="176" customFormat="1" ht="31.5" customHeight="1" thickBot="1" x14ac:dyDescent="0.3">
      <c r="A4" s="232" t="s">
        <v>86</v>
      </c>
      <c r="B4" s="233">
        <f t="shared" ref="B4:N4" si="0">SUM(B5+B35+B43+B81+B108+B129+B144+B159+B166)</f>
        <v>0</v>
      </c>
      <c r="C4" s="234">
        <f t="shared" si="0"/>
        <v>0</v>
      </c>
      <c r="D4" s="234">
        <f t="shared" si="0"/>
        <v>0</v>
      </c>
      <c r="E4" s="234">
        <f t="shared" si="0"/>
        <v>0</v>
      </c>
      <c r="F4" s="234">
        <f t="shared" si="0"/>
        <v>0</v>
      </c>
      <c r="G4" s="234">
        <f t="shared" si="0"/>
        <v>0</v>
      </c>
      <c r="H4" s="235">
        <f t="shared" si="0"/>
        <v>0</v>
      </c>
      <c r="I4" s="169">
        <f t="shared" si="0"/>
        <v>0</v>
      </c>
      <c r="J4" s="235">
        <f t="shared" si="0"/>
        <v>0</v>
      </c>
      <c r="K4" s="234">
        <f t="shared" si="0"/>
        <v>0</v>
      </c>
      <c r="L4" s="234">
        <f t="shared" si="0"/>
        <v>0</v>
      </c>
      <c r="M4" s="234">
        <f t="shared" si="0"/>
        <v>0</v>
      </c>
      <c r="N4" s="169">
        <f t="shared" si="0"/>
        <v>0</v>
      </c>
      <c r="O4" s="228"/>
      <c r="P4" s="175">
        <f>+O4-I4</f>
        <v>0</v>
      </c>
      <c r="Q4" s="175"/>
      <c r="R4" s="175"/>
    </row>
    <row r="5" spans="1:18" s="117" customFormat="1" ht="31.5" customHeight="1" x14ac:dyDescent="0.25">
      <c r="A5" s="237" t="s">
        <v>77</v>
      </c>
      <c r="B5" s="238">
        <f>SUM(B6:B31)</f>
        <v>0</v>
      </c>
      <c r="C5" s="239">
        <f t="shared" ref="C5:I5" si="1">SUM(C6:C20)</f>
        <v>0</v>
      </c>
      <c r="D5" s="239">
        <f t="shared" si="1"/>
        <v>0</v>
      </c>
      <c r="E5" s="239">
        <f>SUM(E6:E34)</f>
        <v>0</v>
      </c>
      <c r="F5" s="239">
        <f t="shared" si="1"/>
        <v>0</v>
      </c>
      <c r="G5" s="239">
        <f t="shared" si="1"/>
        <v>0</v>
      </c>
      <c r="H5" s="239">
        <f>SUM(H6:H34)</f>
        <v>0</v>
      </c>
      <c r="I5" s="240">
        <f t="shared" si="1"/>
        <v>0</v>
      </c>
      <c r="J5" s="241">
        <f>SUM(J6:J34)</f>
        <v>0</v>
      </c>
      <c r="K5" s="241">
        <f>SUM(K6:K34)</f>
        <v>0</v>
      </c>
      <c r="L5" s="241">
        <f>SUM(L6:L34)</f>
        <v>0</v>
      </c>
      <c r="M5" s="241">
        <f>SUM(M6:M34)</f>
        <v>0</v>
      </c>
      <c r="N5" s="242">
        <f>SUM(N6:N34)</f>
        <v>0</v>
      </c>
      <c r="O5" s="236">
        <f>SUM(B5:H5)</f>
        <v>0</v>
      </c>
      <c r="P5" s="14">
        <f>+O5-I5</f>
        <v>0</v>
      </c>
      <c r="Q5" s="14"/>
      <c r="R5" s="14"/>
    </row>
    <row r="6" spans="1:18" s="15" customFormat="1" ht="17.25" customHeight="1" x14ac:dyDescent="0.25">
      <c r="A6" s="243" t="s">
        <v>249</v>
      </c>
      <c r="B6" s="9"/>
      <c r="C6" s="10"/>
      <c r="D6" s="10"/>
      <c r="E6" s="10"/>
      <c r="F6" s="10"/>
      <c r="G6" s="10"/>
      <c r="H6" s="6"/>
      <c r="I6" s="118">
        <f t="shared" ref="I6:I44" si="2">SUM(B6:H6)</f>
        <v>0</v>
      </c>
      <c r="J6" s="11"/>
      <c r="K6" s="12"/>
      <c r="L6" s="12"/>
      <c r="M6" s="13"/>
      <c r="N6" s="112">
        <f t="shared" ref="N6:N34" si="3">SUM(J6:M6)</f>
        <v>0</v>
      </c>
      <c r="O6" s="236"/>
      <c r="P6" s="14"/>
      <c r="Q6" s="14"/>
      <c r="R6" s="14"/>
    </row>
    <row r="7" spans="1:18" s="117" customFormat="1" ht="17.25" customHeight="1" x14ac:dyDescent="0.25">
      <c r="A7" s="221" t="s">
        <v>201</v>
      </c>
      <c r="B7" s="110"/>
      <c r="C7" s="10"/>
      <c r="D7" s="111"/>
      <c r="E7" s="6"/>
      <c r="F7" s="6"/>
      <c r="G7" s="6"/>
      <c r="H7" s="6"/>
      <c r="I7" s="118">
        <f t="shared" si="2"/>
        <v>0</v>
      </c>
      <c r="J7" s="113"/>
      <c r="K7" s="114"/>
      <c r="L7" s="114"/>
      <c r="M7" s="115"/>
      <c r="N7" s="112">
        <f t="shared" si="3"/>
        <v>0</v>
      </c>
      <c r="O7" s="236"/>
      <c r="P7" s="14"/>
      <c r="Q7" s="14"/>
      <c r="R7" s="14"/>
    </row>
    <row r="8" spans="1:18" s="99" customFormat="1" ht="30" customHeight="1" x14ac:dyDescent="0.25">
      <c r="A8" s="244" t="s">
        <v>884</v>
      </c>
      <c r="C8" s="1"/>
      <c r="D8" s="1"/>
      <c r="E8" s="1"/>
      <c r="F8" s="1"/>
      <c r="G8" s="1"/>
      <c r="H8" s="1"/>
      <c r="I8" s="118">
        <f t="shared" si="2"/>
        <v>0</v>
      </c>
      <c r="J8" s="120"/>
      <c r="K8" s="1"/>
      <c r="L8" s="1"/>
      <c r="M8" s="1"/>
      <c r="N8" s="112">
        <f t="shared" si="3"/>
        <v>0</v>
      </c>
      <c r="O8" s="216"/>
      <c r="P8" s="122"/>
      <c r="Q8" s="121"/>
      <c r="R8" s="122"/>
    </row>
    <row r="9" spans="1:18" s="99" customFormat="1" ht="30" customHeight="1" x14ac:dyDescent="0.25">
      <c r="A9" s="243" t="s">
        <v>127</v>
      </c>
      <c r="B9" s="197"/>
      <c r="C9" s="194"/>
      <c r="D9" s="194"/>
      <c r="E9" s="194"/>
      <c r="F9" s="194"/>
      <c r="G9" s="194"/>
      <c r="H9" s="1"/>
      <c r="I9" s="118">
        <f t="shared" si="2"/>
        <v>0</v>
      </c>
      <c r="J9" s="195"/>
      <c r="K9" s="194"/>
      <c r="L9" s="194"/>
      <c r="M9" s="194"/>
      <c r="N9" s="112">
        <f t="shared" si="3"/>
        <v>0</v>
      </c>
      <c r="O9" s="216"/>
      <c r="P9" s="122"/>
      <c r="Q9" s="121"/>
      <c r="R9" s="122"/>
    </row>
    <row r="10" spans="1:18" s="99" customFormat="1" ht="16.5" customHeight="1" x14ac:dyDescent="0.25">
      <c r="A10" s="243" t="s">
        <v>891</v>
      </c>
      <c r="B10" s="120"/>
      <c r="C10" s="194"/>
      <c r="D10" s="194"/>
      <c r="E10" s="194"/>
      <c r="F10" s="194"/>
      <c r="G10" s="194"/>
      <c r="H10" s="194"/>
      <c r="I10" s="118">
        <f t="shared" si="2"/>
        <v>0</v>
      </c>
      <c r="J10" s="195"/>
      <c r="K10" s="194"/>
      <c r="L10" s="194"/>
      <c r="M10" s="194"/>
      <c r="N10" s="112">
        <f t="shared" si="3"/>
        <v>0</v>
      </c>
      <c r="O10" s="216"/>
      <c r="P10" s="122"/>
      <c r="Q10" s="121"/>
      <c r="R10" s="122"/>
    </row>
    <row r="11" spans="1:18" s="99" customFormat="1" ht="16.5" customHeight="1" x14ac:dyDescent="0.25">
      <c r="A11" s="243" t="s">
        <v>905</v>
      </c>
      <c r="B11" s="120"/>
      <c r="C11" s="194"/>
      <c r="D11" s="194"/>
      <c r="E11" s="194"/>
      <c r="F11" s="194"/>
      <c r="G11" s="194"/>
      <c r="H11" s="194"/>
      <c r="I11" s="118">
        <f t="shared" si="2"/>
        <v>0</v>
      </c>
      <c r="J11" s="195"/>
      <c r="K11" s="194"/>
      <c r="L11" s="194"/>
      <c r="M11" s="194"/>
      <c r="N11" s="112">
        <f t="shared" si="3"/>
        <v>0</v>
      </c>
      <c r="O11" s="216"/>
      <c r="P11" s="122"/>
      <c r="Q11" s="121"/>
      <c r="R11" s="122"/>
    </row>
    <row r="12" spans="1:18" s="99" customFormat="1" ht="29.25" customHeight="1" x14ac:dyDescent="0.25">
      <c r="A12" s="243" t="s">
        <v>250</v>
      </c>
      <c r="B12" s="120"/>
      <c r="C12" s="194"/>
      <c r="D12" s="194"/>
      <c r="E12" s="194"/>
      <c r="F12" s="194"/>
      <c r="G12" s="194"/>
      <c r="H12" s="194"/>
      <c r="I12" s="118">
        <f t="shared" si="2"/>
        <v>0</v>
      </c>
      <c r="J12" s="195"/>
      <c r="K12" s="194"/>
      <c r="L12" s="194"/>
      <c r="M12" s="194"/>
      <c r="N12" s="112">
        <f t="shared" si="3"/>
        <v>0</v>
      </c>
      <c r="O12" s="216"/>
      <c r="P12" s="122"/>
      <c r="Q12" s="121"/>
      <c r="R12" s="122"/>
    </row>
    <row r="13" spans="1:18" s="99" customFormat="1" ht="29.25" customHeight="1" x14ac:dyDescent="0.25">
      <c r="A13" s="243" t="s">
        <v>194</v>
      </c>
      <c r="B13" s="120"/>
      <c r="C13" s="194"/>
      <c r="D13" s="194"/>
      <c r="E13" s="194"/>
      <c r="F13" s="194"/>
      <c r="G13" s="194"/>
      <c r="H13" s="194"/>
      <c r="I13" s="118">
        <f t="shared" si="2"/>
        <v>0</v>
      </c>
      <c r="J13" s="195"/>
      <c r="K13" s="194"/>
      <c r="L13" s="194"/>
      <c r="M13" s="194"/>
      <c r="N13" s="112">
        <f t="shared" si="3"/>
        <v>0</v>
      </c>
      <c r="O13" s="216"/>
      <c r="P13" s="122"/>
      <c r="Q13" s="121"/>
      <c r="R13" s="122"/>
    </row>
    <row r="14" spans="1:18" s="99" customFormat="1" x14ac:dyDescent="0.25">
      <c r="A14" s="243" t="s">
        <v>195</v>
      </c>
      <c r="B14" s="120"/>
      <c r="C14" s="194"/>
      <c r="D14" s="194"/>
      <c r="E14" s="194"/>
      <c r="F14" s="194"/>
      <c r="G14" s="194"/>
      <c r="H14" s="194"/>
      <c r="I14" s="118">
        <f t="shared" si="2"/>
        <v>0</v>
      </c>
      <c r="J14" s="195"/>
      <c r="K14" s="194"/>
      <c r="L14" s="194"/>
      <c r="M14" s="194"/>
      <c r="N14" s="112">
        <f t="shared" si="3"/>
        <v>0</v>
      </c>
      <c r="O14" s="216"/>
      <c r="P14" s="122"/>
      <c r="Q14" s="121"/>
      <c r="R14" s="122"/>
    </row>
    <row r="15" spans="1:18" s="99" customFormat="1" x14ac:dyDescent="0.25">
      <c r="A15" s="243" t="s">
        <v>248</v>
      </c>
      <c r="B15" s="120"/>
      <c r="C15" s="194"/>
      <c r="D15" s="194"/>
      <c r="E15" s="194"/>
      <c r="F15" s="194"/>
      <c r="G15" s="194"/>
      <c r="H15" s="194"/>
      <c r="I15" s="118">
        <f t="shared" si="2"/>
        <v>0</v>
      </c>
      <c r="J15" s="195"/>
      <c r="K15" s="194"/>
      <c r="L15" s="194"/>
      <c r="M15" s="194"/>
      <c r="N15" s="112">
        <f t="shared" si="3"/>
        <v>0</v>
      </c>
      <c r="O15" s="216"/>
      <c r="P15" s="122"/>
      <c r="Q15" s="121"/>
      <c r="R15" s="122"/>
    </row>
    <row r="16" spans="1:18" s="99" customFormat="1" x14ac:dyDescent="0.25">
      <c r="A16" s="243" t="s">
        <v>908</v>
      </c>
      <c r="B16" s="120"/>
      <c r="C16" s="194"/>
      <c r="D16" s="194"/>
      <c r="E16" s="194"/>
      <c r="F16" s="194"/>
      <c r="G16" s="194"/>
      <c r="H16" s="194"/>
      <c r="I16" s="118">
        <f t="shared" si="2"/>
        <v>0</v>
      </c>
      <c r="J16" s="195"/>
      <c r="K16" s="194"/>
      <c r="L16" s="194"/>
      <c r="M16" s="194"/>
      <c r="N16" s="112"/>
      <c r="O16" s="216"/>
      <c r="P16" s="122"/>
      <c r="R16" s="122"/>
    </row>
    <row r="17" spans="1:18" s="99" customFormat="1" x14ac:dyDescent="0.25">
      <c r="A17" s="243" t="s">
        <v>904</v>
      </c>
      <c r="B17" s="120"/>
      <c r="C17" s="194"/>
      <c r="D17" s="194"/>
      <c r="E17" s="194"/>
      <c r="F17" s="194"/>
      <c r="G17" s="194"/>
      <c r="H17" s="194"/>
      <c r="I17" s="118">
        <f t="shared" si="2"/>
        <v>0</v>
      </c>
      <c r="J17" s="195"/>
      <c r="K17" s="194"/>
      <c r="L17" s="194"/>
      <c r="M17" s="194"/>
      <c r="N17" s="112">
        <f t="shared" si="3"/>
        <v>0</v>
      </c>
      <c r="O17" s="216"/>
      <c r="P17" s="122"/>
      <c r="Q17" s="121"/>
      <c r="R17" s="122"/>
    </row>
    <row r="18" spans="1:18" s="99" customFormat="1" x14ac:dyDescent="0.25">
      <c r="A18" s="243" t="s">
        <v>906</v>
      </c>
      <c r="B18" s="120"/>
      <c r="C18" s="194"/>
      <c r="D18" s="194"/>
      <c r="E18" s="194"/>
      <c r="F18" s="194"/>
      <c r="G18" s="194"/>
      <c r="H18" s="194"/>
      <c r="I18" s="118">
        <f t="shared" si="2"/>
        <v>0</v>
      </c>
      <c r="J18" s="195"/>
      <c r="K18" s="194"/>
      <c r="L18" s="194"/>
      <c r="M18" s="194"/>
      <c r="N18" s="112"/>
      <c r="O18" s="216"/>
      <c r="P18" s="122"/>
      <c r="Q18" s="121"/>
      <c r="R18" s="122"/>
    </row>
    <row r="19" spans="1:18" s="99" customFormat="1" ht="16.5" customHeight="1" x14ac:dyDescent="0.25">
      <c r="A19" s="243" t="s">
        <v>890</v>
      </c>
      <c r="B19" s="120"/>
      <c r="C19" s="194"/>
      <c r="D19" s="194"/>
      <c r="E19" s="194"/>
      <c r="F19" s="194"/>
      <c r="G19" s="194"/>
      <c r="H19" s="194"/>
      <c r="I19" s="118">
        <f t="shared" si="2"/>
        <v>0</v>
      </c>
      <c r="J19" s="195"/>
      <c r="K19" s="194"/>
      <c r="L19" s="194"/>
      <c r="M19" s="194"/>
      <c r="N19" s="112">
        <f t="shared" si="3"/>
        <v>0</v>
      </c>
      <c r="O19" s="216"/>
      <c r="P19" s="122"/>
      <c r="Q19" s="121">
        <v>12791</v>
      </c>
      <c r="R19" s="122"/>
    </row>
    <row r="20" spans="1:18" s="99" customFormat="1" ht="17.25" customHeight="1" x14ac:dyDescent="0.25">
      <c r="A20" s="243" t="s">
        <v>883</v>
      </c>
      <c r="C20" s="194"/>
      <c r="D20" s="194"/>
      <c r="E20" s="194"/>
      <c r="F20" s="194"/>
      <c r="G20" s="194"/>
      <c r="H20" s="194"/>
      <c r="I20" s="118">
        <f t="shared" si="2"/>
        <v>0</v>
      </c>
      <c r="J20" s="195"/>
      <c r="K20" s="194"/>
      <c r="L20" s="194"/>
      <c r="M20" s="194"/>
      <c r="N20" s="112">
        <f t="shared" si="3"/>
        <v>0</v>
      </c>
      <c r="O20" s="216"/>
      <c r="P20" s="122"/>
      <c r="Q20" s="121"/>
      <c r="R20" s="122"/>
    </row>
    <row r="21" spans="1:18" s="99" customFormat="1" ht="17.25" customHeight="1" x14ac:dyDescent="0.25">
      <c r="A21" s="243" t="s">
        <v>921</v>
      </c>
      <c r="B21" s="291"/>
      <c r="C21" s="194"/>
      <c r="D21" s="194"/>
      <c r="E21" s="194"/>
      <c r="F21" s="194"/>
      <c r="G21" s="194"/>
      <c r="H21" s="194"/>
      <c r="I21" s="118">
        <f t="shared" si="2"/>
        <v>0</v>
      </c>
      <c r="J21" s="195"/>
      <c r="K21" s="194"/>
      <c r="L21" s="194"/>
      <c r="M21" s="194"/>
      <c r="N21" s="112"/>
      <c r="O21" s="216"/>
      <c r="P21" s="122"/>
      <c r="Q21" s="121"/>
      <c r="R21" s="122"/>
    </row>
    <row r="22" spans="1:18" s="99" customFormat="1" ht="17.25" customHeight="1" x14ac:dyDescent="0.25">
      <c r="A22" s="243" t="s">
        <v>922</v>
      </c>
      <c r="B22" s="291"/>
      <c r="C22" s="194"/>
      <c r="D22" s="194"/>
      <c r="E22" s="194"/>
      <c r="F22" s="194"/>
      <c r="G22" s="194"/>
      <c r="H22" s="194"/>
      <c r="I22" s="118">
        <f t="shared" si="2"/>
        <v>0</v>
      </c>
      <c r="J22" s="195"/>
      <c r="K22" s="194"/>
      <c r="L22" s="194"/>
      <c r="M22" s="194"/>
      <c r="N22" s="112"/>
      <c r="O22" s="216"/>
      <c r="P22" s="122"/>
      <c r="Q22" s="121"/>
      <c r="R22" s="122"/>
    </row>
    <row r="23" spans="1:18" s="99" customFormat="1" ht="17.25" customHeight="1" x14ac:dyDescent="0.25">
      <c r="A23" s="243" t="s">
        <v>888</v>
      </c>
      <c r="B23" s="291"/>
      <c r="C23" s="194"/>
      <c r="D23" s="194"/>
      <c r="E23" s="194"/>
      <c r="F23" s="194"/>
      <c r="G23" s="194"/>
      <c r="H23" s="194"/>
      <c r="I23" s="118">
        <f t="shared" si="2"/>
        <v>0</v>
      </c>
      <c r="J23" s="195"/>
      <c r="K23" s="194"/>
      <c r="L23" s="194"/>
      <c r="M23" s="194"/>
      <c r="N23" s="112">
        <f t="shared" si="3"/>
        <v>0</v>
      </c>
      <c r="O23" s="216"/>
      <c r="P23" s="122"/>
      <c r="Q23" s="121"/>
      <c r="R23" s="122"/>
    </row>
    <row r="24" spans="1:18" s="99" customFormat="1" ht="17.25" customHeight="1" x14ac:dyDescent="0.25">
      <c r="A24" s="243" t="s">
        <v>924</v>
      </c>
      <c r="B24" s="291"/>
      <c r="C24" s="194"/>
      <c r="D24" s="194"/>
      <c r="E24" s="194"/>
      <c r="F24" s="194"/>
      <c r="G24" s="194"/>
      <c r="H24" s="194"/>
      <c r="I24" s="118">
        <f t="shared" si="2"/>
        <v>0</v>
      </c>
      <c r="J24" s="195"/>
      <c r="K24" s="194"/>
      <c r="L24" s="194"/>
      <c r="M24" s="194"/>
      <c r="N24" s="112"/>
      <c r="O24" s="216"/>
      <c r="P24" s="122"/>
      <c r="Q24" s="121"/>
      <c r="R24" s="122"/>
    </row>
    <row r="25" spans="1:18" s="99" customFormat="1" ht="17.25" customHeight="1" x14ac:dyDescent="0.25">
      <c r="A25" s="243" t="s">
        <v>920</v>
      </c>
      <c r="B25" s="291"/>
      <c r="C25" s="194"/>
      <c r="D25" s="194"/>
      <c r="E25" s="194"/>
      <c r="F25" s="194"/>
      <c r="G25" s="194"/>
      <c r="H25" s="194"/>
      <c r="I25" s="118">
        <f t="shared" si="2"/>
        <v>0</v>
      </c>
      <c r="J25" s="195"/>
      <c r="K25" s="194"/>
      <c r="L25" s="194"/>
      <c r="M25" s="194"/>
      <c r="N25" s="112">
        <f t="shared" si="3"/>
        <v>0</v>
      </c>
      <c r="O25" s="216"/>
      <c r="P25" s="122"/>
      <c r="Q25" s="121"/>
      <c r="R25" s="122"/>
    </row>
    <row r="26" spans="1:18" s="99" customFormat="1" ht="17.25" customHeight="1" x14ac:dyDescent="0.25">
      <c r="A26" s="243" t="s">
        <v>925</v>
      </c>
      <c r="B26" s="291"/>
      <c r="C26" s="194"/>
      <c r="D26" s="194"/>
      <c r="E26" s="194"/>
      <c r="F26" s="194"/>
      <c r="G26" s="194"/>
      <c r="H26" s="194"/>
      <c r="I26" s="118">
        <f t="shared" si="2"/>
        <v>0</v>
      </c>
      <c r="J26" s="195"/>
      <c r="K26" s="194"/>
      <c r="L26" s="194"/>
      <c r="M26" s="194"/>
      <c r="N26" s="112"/>
      <c r="O26" s="216"/>
      <c r="P26" s="122"/>
      <c r="Q26" s="121"/>
      <c r="R26" s="122"/>
    </row>
    <row r="27" spans="1:18" s="99" customFormat="1" ht="30" customHeight="1" x14ac:dyDescent="0.25">
      <c r="A27" s="243" t="s">
        <v>929</v>
      </c>
      <c r="B27" s="291"/>
      <c r="C27" s="194"/>
      <c r="D27" s="194"/>
      <c r="E27" s="194"/>
      <c r="F27" s="194"/>
      <c r="G27" s="194"/>
      <c r="H27" s="194"/>
      <c r="I27" s="118">
        <f t="shared" si="2"/>
        <v>0</v>
      </c>
      <c r="J27" s="195"/>
      <c r="K27" s="194"/>
      <c r="L27" s="194"/>
      <c r="M27" s="194"/>
      <c r="N27" s="112"/>
      <c r="O27" s="216"/>
      <c r="P27" s="122"/>
      <c r="Q27" s="121"/>
      <c r="R27" s="122"/>
    </row>
    <row r="28" spans="1:18" s="99" customFormat="1" ht="30" customHeight="1" x14ac:dyDescent="0.25">
      <c r="A28" s="243" t="s">
        <v>930</v>
      </c>
      <c r="B28" s="291"/>
      <c r="C28" s="194"/>
      <c r="D28" s="194"/>
      <c r="E28" s="194"/>
      <c r="F28" s="194"/>
      <c r="G28" s="194"/>
      <c r="H28" s="194"/>
      <c r="I28" s="118"/>
      <c r="J28" s="195"/>
      <c r="K28" s="194"/>
      <c r="L28" s="194"/>
      <c r="M28" s="194"/>
      <c r="N28" s="112">
        <f t="shared" ref="N28" si="4">SUM(J28:M28)</f>
        <v>0</v>
      </c>
      <c r="O28" s="216"/>
      <c r="P28" s="122"/>
      <c r="Q28" s="121"/>
      <c r="R28" s="122"/>
    </row>
    <row r="29" spans="1:18" s="99" customFormat="1" ht="17.25" customHeight="1" x14ac:dyDescent="0.25">
      <c r="A29" s="243" t="s">
        <v>923</v>
      </c>
      <c r="B29" s="291"/>
      <c r="C29" s="194"/>
      <c r="D29" s="194"/>
      <c r="E29" s="194"/>
      <c r="F29" s="194"/>
      <c r="G29" s="194"/>
      <c r="H29" s="194"/>
      <c r="I29" s="118">
        <f t="shared" si="2"/>
        <v>0</v>
      </c>
      <c r="J29" s="195"/>
      <c r="K29" s="194"/>
      <c r="L29" s="194"/>
      <c r="M29" s="194"/>
      <c r="N29" s="112">
        <f t="shared" si="3"/>
        <v>0</v>
      </c>
      <c r="O29" s="216"/>
      <c r="P29" s="122"/>
      <c r="Q29" s="121"/>
      <c r="R29" s="122"/>
    </row>
    <row r="30" spans="1:18" s="99" customFormat="1" ht="27" customHeight="1" x14ac:dyDescent="0.25">
      <c r="A30" s="243" t="s">
        <v>927</v>
      </c>
      <c r="B30" s="291"/>
      <c r="C30" s="194"/>
      <c r="D30" s="194"/>
      <c r="E30" s="194"/>
      <c r="F30" s="194"/>
      <c r="G30" s="194"/>
      <c r="H30" s="194"/>
      <c r="I30" s="118">
        <f t="shared" si="2"/>
        <v>0</v>
      </c>
      <c r="J30" s="195"/>
      <c r="K30" s="194"/>
      <c r="L30" s="194"/>
      <c r="M30" s="194"/>
      <c r="N30" s="112">
        <f t="shared" si="3"/>
        <v>0</v>
      </c>
      <c r="O30" s="216"/>
      <c r="P30" s="122"/>
      <c r="Q30" s="121"/>
      <c r="R30" s="122"/>
    </row>
    <row r="31" spans="1:18" s="268" customFormat="1" ht="17.25" customHeight="1" x14ac:dyDescent="0.25">
      <c r="A31" s="292" t="s">
        <v>129</v>
      </c>
      <c r="B31" s="293"/>
      <c r="C31" s="289"/>
      <c r="D31" s="289"/>
      <c r="E31" s="289"/>
      <c r="F31" s="289"/>
      <c r="G31" s="289"/>
      <c r="H31" s="289"/>
      <c r="I31" s="294">
        <f t="shared" si="2"/>
        <v>0</v>
      </c>
      <c r="J31" s="288"/>
      <c r="K31" s="289"/>
      <c r="L31" s="289"/>
      <c r="M31" s="289"/>
      <c r="N31" s="290">
        <f t="shared" si="3"/>
        <v>0</v>
      </c>
      <c r="O31" s="265"/>
      <c r="P31" s="266"/>
      <c r="Q31" s="267"/>
      <c r="R31" s="266"/>
    </row>
    <row r="32" spans="1:18" s="99" customFormat="1" ht="17.25" customHeight="1" x14ac:dyDescent="0.25">
      <c r="A32" s="244" t="s">
        <v>918</v>
      </c>
      <c r="C32" s="1"/>
      <c r="D32" s="1"/>
      <c r="E32" s="1"/>
      <c r="F32" s="1"/>
      <c r="G32" s="1"/>
      <c r="H32" s="1"/>
      <c r="I32" s="118">
        <f t="shared" si="2"/>
        <v>0</v>
      </c>
      <c r="J32" s="120"/>
      <c r="K32" s="1"/>
      <c r="L32" s="1"/>
      <c r="M32" s="1"/>
      <c r="N32" s="112">
        <f t="shared" si="3"/>
        <v>0</v>
      </c>
      <c r="O32" s="216"/>
      <c r="P32" s="122"/>
      <c r="Q32" s="121"/>
      <c r="R32" s="122"/>
    </row>
    <row r="33" spans="1:18" s="99" customFormat="1" ht="17.25" customHeight="1" x14ac:dyDescent="0.25">
      <c r="A33" s="244" t="s">
        <v>928</v>
      </c>
      <c r="C33" s="1"/>
      <c r="D33" s="1"/>
      <c r="E33" s="1"/>
      <c r="F33" s="1"/>
      <c r="G33" s="1"/>
      <c r="H33" s="1"/>
      <c r="I33" s="118"/>
      <c r="J33" s="120"/>
      <c r="K33" s="1"/>
      <c r="L33" s="1"/>
      <c r="M33" s="194"/>
      <c r="N33" s="112">
        <f t="shared" si="3"/>
        <v>0</v>
      </c>
      <c r="O33" s="216"/>
      <c r="P33" s="122"/>
      <c r="Q33" s="121"/>
      <c r="R33" s="122"/>
    </row>
    <row r="34" spans="1:18" s="99" customFormat="1" ht="17.25" customHeight="1" thickBot="1" x14ac:dyDescent="0.3">
      <c r="A34" s="245" t="s">
        <v>889</v>
      </c>
      <c r="B34" s="246"/>
      <c r="C34" s="247"/>
      <c r="D34" s="247"/>
      <c r="E34" s="247"/>
      <c r="F34" s="247"/>
      <c r="G34" s="247"/>
      <c r="H34" s="247"/>
      <c r="I34" s="225">
        <f t="shared" si="2"/>
        <v>0</v>
      </c>
      <c r="J34" s="249"/>
      <c r="K34" s="247"/>
      <c r="L34" s="247"/>
      <c r="M34" s="247"/>
      <c r="N34" s="250">
        <f t="shared" si="3"/>
        <v>0</v>
      </c>
      <c r="O34" s="216"/>
      <c r="P34" s="122"/>
      <c r="Q34" s="121"/>
      <c r="R34" s="122"/>
    </row>
    <row r="35" spans="1:18" s="15" customFormat="1" ht="36.75" customHeight="1" x14ac:dyDescent="0.25">
      <c r="A35" s="217" t="s">
        <v>43</v>
      </c>
      <c r="B35" s="218"/>
      <c r="C35" s="218"/>
      <c r="D35" s="218"/>
      <c r="E35" s="218"/>
      <c r="F35" s="218"/>
      <c r="G35" s="218"/>
      <c r="H35" s="218"/>
      <c r="I35" s="253">
        <f t="shared" ref="I35" si="5">SUM(I36:I42)</f>
        <v>0</v>
      </c>
      <c r="J35" s="219"/>
      <c r="K35" s="219"/>
      <c r="L35" s="219"/>
      <c r="M35" s="219"/>
      <c r="N35" s="220">
        <f t="shared" ref="N35" si="6">SUM(N36:N42)</f>
        <v>0</v>
      </c>
      <c r="O35" s="215"/>
    </row>
    <row r="36" spans="1:18" ht="31.5" x14ac:dyDescent="0.25">
      <c r="A36" s="221" t="s">
        <v>183</v>
      </c>
      <c r="B36" s="125"/>
      <c r="C36" s="126"/>
      <c r="D36" s="126"/>
      <c r="E36" s="126"/>
      <c r="F36" s="126"/>
      <c r="G36" s="126"/>
      <c r="I36" s="118">
        <f t="shared" si="2"/>
        <v>0</v>
      </c>
      <c r="J36" s="128"/>
      <c r="K36" s="126"/>
      <c r="L36" s="126"/>
      <c r="M36" s="126"/>
      <c r="N36" s="192"/>
      <c r="O36" s="216"/>
      <c r="P36" s="121"/>
    </row>
    <row r="37" spans="1:18" ht="31.5" x14ac:dyDescent="0.25">
      <c r="A37" s="221" t="s">
        <v>936</v>
      </c>
      <c r="B37" s="130"/>
      <c r="C37" s="6"/>
      <c r="D37" s="6"/>
      <c r="E37" s="6"/>
      <c r="F37" s="6"/>
      <c r="G37" s="6"/>
      <c r="H37" s="131"/>
      <c r="I37" s="118">
        <f t="shared" si="2"/>
        <v>0</v>
      </c>
      <c r="J37" s="130"/>
      <c r="K37" s="130"/>
      <c r="L37" s="130"/>
      <c r="M37" s="130"/>
      <c r="N37" s="192"/>
      <c r="O37" s="216"/>
      <c r="P37" s="121"/>
    </row>
    <row r="38" spans="1:18" x14ac:dyDescent="0.25">
      <c r="A38" s="221" t="s">
        <v>917</v>
      </c>
      <c r="B38" s="130"/>
      <c r="C38" s="6"/>
      <c r="D38" s="6"/>
      <c r="E38" s="6"/>
      <c r="F38" s="6"/>
      <c r="G38" s="6"/>
      <c r="H38" s="131"/>
      <c r="I38" s="118">
        <f t="shared" si="2"/>
        <v>0</v>
      </c>
      <c r="J38" s="130"/>
      <c r="K38" s="130"/>
      <c r="L38" s="130"/>
      <c r="M38" s="130"/>
      <c r="N38" s="192"/>
      <c r="O38" s="216"/>
      <c r="P38" s="121"/>
    </row>
    <row r="39" spans="1:18" x14ac:dyDescent="0.25">
      <c r="A39" s="264" t="s">
        <v>919</v>
      </c>
      <c r="B39" s="130"/>
      <c r="C39" s="6"/>
      <c r="D39" s="6"/>
      <c r="E39" s="6"/>
      <c r="F39" s="6"/>
      <c r="G39" s="6"/>
      <c r="H39" s="131"/>
      <c r="I39" s="118">
        <f t="shared" si="2"/>
        <v>0</v>
      </c>
      <c r="J39" s="130"/>
      <c r="K39" s="130"/>
      <c r="L39" s="130"/>
      <c r="M39" s="130"/>
      <c r="N39" s="192"/>
      <c r="O39" s="216"/>
      <c r="P39" s="121"/>
    </row>
    <row r="40" spans="1:18" x14ac:dyDescent="0.25">
      <c r="A40" s="264" t="s">
        <v>926</v>
      </c>
      <c r="B40" s="130"/>
      <c r="C40" s="6"/>
      <c r="D40" s="6"/>
      <c r="E40" s="6"/>
      <c r="F40" s="6"/>
      <c r="G40" s="6"/>
      <c r="H40" s="131"/>
      <c r="I40" s="118">
        <f t="shared" si="2"/>
        <v>0</v>
      </c>
      <c r="J40" s="130"/>
      <c r="K40" s="130"/>
      <c r="L40" s="130"/>
      <c r="M40" s="130"/>
      <c r="N40" s="192"/>
      <c r="O40" s="216"/>
      <c r="P40" s="121"/>
    </row>
    <row r="41" spans="1:18" x14ac:dyDescent="0.25">
      <c r="A41" s="221" t="s">
        <v>203</v>
      </c>
      <c r="B41" s="130"/>
      <c r="C41" s="6"/>
      <c r="D41" s="6"/>
      <c r="E41" s="6"/>
      <c r="F41" s="6"/>
      <c r="G41" s="6"/>
      <c r="H41" s="131"/>
      <c r="I41" s="118">
        <f t="shared" si="2"/>
        <v>0</v>
      </c>
      <c r="J41" s="130"/>
      <c r="K41" s="130"/>
      <c r="L41" s="130"/>
      <c r="M41" s="130"/>
      <c r="N41" s="192"/>
      <c r="O41" s="216"/>
      <c r="P41" s="121"/>
    </row>
    <row r="42" spans="1:18" ht="16.5" thickBot="1" x14ac:dyDescent="0.3">
      <c r="A42" s="222" t="s">
        <v>255</v>
      </c>
      <c r="B42" s="223"/>
      <c r="C42" s="7"/>
      <c r="D42" s="7"/>
      <c r="E42" s="7"/>
      <c r="F42" s="7"/>
      <c r="G42" s="7"/>
      <c r="H42" s="224"/>
      <c r="I42" s="225"/>
      <c r="J42" s="223"/>
      <c r="K42" s="223"/>
      <c r="L42" s="223"/>
      <c r="M42" s="223"/>
      <c r="N42" s="225">
        <f>SUM(J42:M42)</f>
        <v>0</v>
      </c>
      <c r="O42" s="216"/>
      <c r="P42" s="121"/>
    </row>
    <row r="43" spans="1:18" s="15" customFormat="1" ht="29.25" customHeight="1" thickBot="1" x14ac:dyDescent="0.3">
      <c r="A43" s="252" t="s">
        <v>44</v>
      </c>
      <c r="B43" s="218"/>
      <c r="C43" s="218"/>
      <c r="D43" s="218"/>
      <c r="E43" s="218"/>
      <c r="F43" s="218"/>
      <c r="G43" s="218"/>
      <c r="H43" s="218"/>
      <c r="I43" s="253">
        <f>SUM(B43:H43)</f>
        <v>0</v>
      </c>
      <c r="J43" s="219"/>
      <c r="K43" s="219"/>
      <c r="L43" s="219"/>
      <c r="M43" s="219"/>
      <c r="N43" s="240">
        <f>SUM(J43:M43)</f>
        <v>0</v>
      </c>
      <c r="O43" s="134"/>
      <c r="P43" s="127"/>
      <c r="R43" s="193"/>
    </row>
    <row r="44" spans="1:18" x14ac:dyDescent="0.25">
      <c r="A44" s="254" t="s">
        <v>157</v>
      </c>
      <c r="B44" s="132"/>
      <c r="C44" s="133"/>
      <c r="D44" s="133"/>
      <c r="F44" s="133"/>
      <c r="G44" s="133"/>
      <c r="I44" s="118">
        <f t="shared" si="2"/>
        <v>0</v>
      </c>
      <c r="J44" s="134"/>
      <c r="N44" s="192">
        <f>SUM(J44:M44)</f>
        <v>0</v>
      </c>
      <c r="O44" s="251"/>
      <c r="Q44" s="122"/>
    </row>
    <row r="45" spans="1:18" x14ac:dyDescent="0.25">
      <c r="A45" s="255" t="s">
        <v>158</v>
      </c>
      <c r="B45" s="135"/>
      <c r="C45" s="136"/>
      <c r="D45" s="136"/>
      <c r="E45" s="131"/>
      <c r="F45" s="136"/>
      <c r="G45" s="136"/>
      <c r="H45" s="131"/>
      <c r="I45" s="118">
        <f t="shared" ref="I45:I80" si="7">SUM(B45:H45)</f>
        <v>0</v>
      </c>
      <c r="J45" s="137"/>
      <c r="M45" s="138"/>
      <c r="N45" s="192">
        <f t="shared" ref="N45:N80" si="8">SUM(J45:M45)</f>
        <v>0</v>
      </c>
      <c r="O45" s="251"/>
    </row>
    <row r="46" spans="1:18" x14ac:dyDescent="0.25">
      <c r="A46" s="255" t="s">
        <v>159</v>
      </c>
      <c r="B46" s="135"/>
      <c r="C46" s="136"/>
      <c r="D46" s="136"/>
      <c r="E46" s="131"/>
      <c r="F46" s="136"/>
      <c r="G46" s="136"/>
      <c r="H46" s="131"/>
      <c r="I46" s="118">
        <f t="shared" si="7"/>
        <v>0</v>
      </c>
      <c r="J46" s="137"/>
      <c r="N46" s="192">
        <f t="shared" si="8"/>
        <v>0</v>
      </c>
      <c r="O46" s="251"/>
    </row>
    <row r="47" spans="1:18" x14ac:dyDescent="0.25">
      <c r="A47" s="255" t="s">
        <v>160</v>
      </c>
      <c r="B47" s="135"/>
      <c r="C47" s="136"/>
      <c r="D47" s="136"/>
      <c r="E47" s="131"/>
      <c r="F47" s="136"/>
      <c r="G47" s="136"/>
      <c r="H47" s="131"/>
      <c r="I47" s="118">
        <f t="shared" si="7"/>
        <v>0</v>
      </c>
      <c r="J47" s="137"/>
      <c r="N47" s="192">
        <f t="shared" si="8"/>
        <v>0</v>
      </c>
      <c r="O47" s="251"/>
    </row>
    <row r="48" spans="1:18" x14ac:dyDescent="0.25">
      <c r="A48" s="255" t="s">
        <v>161</v>
      </c>
      <c r="B48" s="135"/>
      <c r="C48" s="136"/>
      <c r="D48" s="136"/>
      <c r="E48" s="131"/>
      <c r="F48" s="136"/>
      <c r="G48" s="136"/>
      <c r="H48" s="131"/>
      <c r="I48" s="118">
        <f t="shared" si="7"/>
        <v>0</v>
      </c>
      <c r="J48" s="137"/>
      <c r="N48" s="192">
        <f t="shared" si="8"/>
        <v>0</v>
      </c>
      <c r="O48" s="251"/>
    </row>
    <row r="49" spans="1:18" x14ac:dyDescent="0.25">
      <c r="A49" s="256" t="s">
        <v>162</v>
      </c>
      <c r="B49" s="135"/>
      <c r="C49" s="136"/>
      <c r="D49" s="136"/>
      <c r="E49" s="131"/>
      <c r="F49" s="136"/>
      <c r="G49" s="136"/>
      <c r="H49" s="131"/>
      <c r="I49" s="118"/>
      <c r="J49" s="137"/>
      <c r="M49" s="138"/>
      <c r="N49" s="192"/>
      <c r="O49" s="251"/>
    </row>
    <row r="50" spans="1:18" x14ac:dyDescent="0.25">
      <c r="A50" s="255" t="s">
        <v>163</v>
      </c>
      <c r="B50" s="135"/>
      <c r="C50" s="136"/>
      <c r="D50" s="136"/>
      <c r="E50" s="131"/>
      <c r="F50" s="136"/>
      <c r="G50" s="136"/>
      <c r="H50" s="131"/>
      <c r="I50" s="118">
        <f t="shared" si="7"/>
        <v>0</v>
      </c>
      <c r="J50" s="137"/>
      <c r="M50" s="138"/>
      <c r="N50" s="192">
        <f t="shared" si="8"/>
        <v>0</v>
      </c>
      <c r="O50" s="251"/>
      <c r="R50" s="122"/>
    </row>
    <row r="51" spans="1:18" x14ac:dyDescent="0.25">
      <c r="A51" s="255" t="s">
        <v>164</v>
      </c>
      <c r="B51" s="135"/>
      <c r="C51" s="136"/>
      <c r="D51" s="136"/>
      <c r="E51" s="131"/>
      <c r="F51" s="136"/>
      <c r="G51" s="136"/>
      <c r="H51" s="131"/>
      <c r="I51" s="118">
        <f t="shared" si="7"/>
        <v>0</v>
      </c>
      <c r="J51" s="137"/>
      <c r="M51" s="138"/>
      <c r="N51" s="192">
        <f t="shared" si="8"/>
        <v>0</v>
      </c>
      <c r="O51" s="251"/>
      <c r="R51" s="122"/>
    </row>
    <row r="52" spans="1:18" x14ac:dyDescent="0.25">
      <c r="A52" s="255" t="s">
        <v>874</v>
      </c>
      <c r="B52" s="135"/>
      <c r="C52" s="136"/>
      <c r="D52" s="136"/>
      <c r="E52" s="131"/>
      <c r="F52" s="136"/>
      <c r="G52" s="136"/>
      <c r="H52" s="131"/>
      <c r="I52" s="118">
        <f t="shared" si="7"/>
        <v>0</v>
      </c>
      <c r="J52" s="137"/>
      <c r="M52" s="138"/>
      <c r="N52" s="192"/>
      <c r="O52" s="251"/>
      <c r="R52" s="122"/>
    </row>
    <row r="53" spans="1:18" x14ac:dyDescent="0.25">
      <c r="A53" s="255" t="s">
        <v>165</v>
      </c>
      <c r="B53" s="135"/>
      <c r="C53" s="136"/>
      <c r="D53" s="136"/>
      <c r="E53" s="131"/>
      <c r="F53" s="136"/>
      <c r="G53" s="136"/>
      <c r="H53" s="131"/>
      <c r="I53" s="118">
        <f t="shared" si="7"/>
        <v>0</v>
      </c>
      <c r="J53" s="137"/>
      <c r="M53" s="138"/>
      <c r="N53" s="192">
        <f t="shared" si="8"/>
        <v>0</v>
      </c>
      <c r="O53" s="251"/>
      <c r="R53" s="122"/>
    </row>
    <row r="54" spans="1:18" x14ac:dyDescent="0.25">
      <c r="A54" s="255" t="s">
        <v>166</v>
      </c>
      <c r="B54" s="135"/>
      <c r="C54" s="136"/>
      <c r="D54" s="136"/>
      <c r="E54" s="131"/>
      <c r="F54" s="136"/>
      <c r="G54" s="136"/>
      <c r="H54" s="131"/>
      <c r="I54" s="118">
        <f t="shared" si="7"/>
        <v>0</v>
      </c>
      <c r="J54" s="137"/>
      <c r="M54" s="138"/>
      <c r="N54" s="192">
        <f t="shared" si="8"/>
        <v>0</v>
      </c>
      <c r="O54" s="251"/>
      <c r="R54" s="122"/>
    </row>
    <row r="55" spans="1:18" x14ac:dyDescent="0.25">
      <c r="A55" s="255" t="s">
        <v>875</v>
      </c>
      <c r="B55" s="135"/>
      <c r="C55" s="136"/>
      <c r="D55" s="136"/>
      <c r="E55" s="131"/>
      <c r="F55" s="136"/>
      <c r="G55" s="136"/>
      <c r="H55" s="131"/>
      <c r="I55" s="118">
        <f t="shared" si="7"/>
        <v>0</v>
      </c>
      <c r="J55" s="137"/>
      <c r="M55" s="138"/>
      <c r="N55" s="192"/>
      <c r="O55" s="251"/>
      <c r="R55" s="122"/>
    </row>
    <row r="56" spans="1:18" ht="31.5" x14ac:dyDescent="0.25">
      <c r="A56" s="255" t="s">
        <v>167</v>
      </c>
      <c r="B56" s="135"/>
      <c r="C56" s="136"/>
      <c r="D56" s="136"/>
      <c r="E56" s="131"/>
      <c r="F56" s="136"/>
      <c r="G56" s="136"/>
      <c r="H56" s="131"/>
      <c r="I56" s="118">
        <f t="shared" si="7"/>
        <v>0</v>
      </c>
      <c r="J56" s="137"/>
      <c r="M56" s="138"/>
      <c r="N56" s="192">
        <f t="shared" si="8"/>
        <v>0</v>
      </c>
      <c r="O56" s="251"/>
      <c r="R56" s="122"/>
    </row>
    <row r="57" spans="1:18" x14ac:dyDescent="0.25">
      <c r="A57" s="255" t="s">
        <v>168</v>
      </c>
      <c r="B57" s="135"/>
      <c r="C57" s="136"/>
      <c r="D57" s="136"/>
      <c r="E57" s="131"/>
      <c r="F57" s="136"/>
      <c r="G57" s="136"/>
      <c r="H57" s="131"/>
      <c r="I57" s="118">
        <f t="shared" si="7"/>
        <v>0</v>
      </c>
      <c r="J57" s="137"/>
      <c r="M57" s="138"/>
      <c r="N57" s="192">
        <f t="shared" si="8"/>
        <v>0</v>
      </c>
      <c r="O57" s="251"/>
      <c r="R57" s="122"/>
    </row>
    <row r="58" spans="1:18" x14ac:dyDescent="0.25">
      <c r="A58" s="255" t="s">
        <v>182</v>
      </c>
      <c r="B58" s="135"/>
      <c r="C58" s="136"/>
      <c r="D58" s="136"/>
      <c r="E58" s="131"/>
      <c r="F58" s="136"/>
      <c r="G58" s="136"/>
      <c r="H58" s="131"/>
      <c r="I58" s="118">
        <f t="shared" si="7"/>
        <v>0</v>
      </c>
      <c r="J58" s="137"/>
      <c r="M58" s="138"/>
      <c r="N58" s="192">
        <f t="shared" si="8"/>
        <v>0</v>
      </c>
      <c r="O58" s="251"/>
      <c r="R58" s="122"/>
    </row>
    <row r="59" spans="1:18" x14ac:dyDescent="0.25">
      <c r="A59" s="255" t="s">
        <v>876</v>
      </c>
      <c r="B59" s="135"/>
      <c r="C59" s="136"/>
      <c r="D59" s="136"/>
      <c r="E59" s="131"/>
      <c r="F59" s="136"/>
      <c r="G59" s="136"/>
      <c r="H59" s="131"/>
      <c r="I59" s="118">
        <f t="shared" si="7"/>
        <v>0</v>
      </c>
      <c r="J59" s="137"/>
      <c r="M59" s="138"/>
      <c r="N59" s="192"/>
      <c r="O59" s="251"/>
      <c r="R59" s="122"/>
    </row>
    <row r="60" spans="1:18" x14ac:dyDescent="0.25">
      <c r="A60" s="255" t="s">
        <v>169</v>
      </c>
      <c r="B60" s="135"/>
      <c r="C60" s="136"/>
      <c r="D60" s="136"/>
      <c r="E60" s="131"/>
      <c r="F60" s="136"/>
      <c r="G60" s="136"/>
      <c r="H60" s="131"/>
      <c r="I60" s="118">
        <f t="shared" si="7"/>
        <v>0</v>
      </c>
      <c r="J60" s="137"/>
      <c r="M60" s="138"/>
      <c r="N60" s="192">
        <f t="shared" si="8"/>
        <v>0</v>
      </c>
      <c r="O60" s="251"/>
      <c r="R60" s="122"/>
    </row>
    <row r="61" spans="1:18" x14ac:dyDescent="0.25">
      <c r="A61" s="255" t="s">
        <v>170</v>
      </c>
      <c r="B61" s="135"/>
      <c r="C61" s="136"/>
      <c r="D61" s="136"/>
      <c r="E61" s="131"/>
      <c r="F61" s="136"/>
      <c r="G61" s="136"/>
      <c r="H61" s="131"/>
      <c r="I61" s="118">
        <f t="shared" si="7"/>
        <v>0</v>
      </c>
      <c r="J61" s="137"/>
      <c r="M61" s="138"/>
      <c r="N61" s="192">
        <f t="shared" si="8"/>
        <v>0</v>
      </c>
      <c r="O61" s="251"/>
      <c r="R61" s="122"/>
    </row>
    <row r="62" spans="1:18" ht="31.5" x14ac:dyDescent="0.25">
      <c r="A62" s="255" t="s">
        <v>171</v>
      </c>
      <c r="B62" s="135"/>
      <c r="C62" s="136"/>
      <c r="D62" s="136"/>
      <c r="E62" s="131"/>
      <c r="F62" s="136"/>
      <c r="G62" s="136"/>
      <c r="H62" s="131"/>
      <c r="I62" s="118">
        <f t="shared" si="7"/>
        <v>0</v>
      </c>
      <c r="J62" s="137"/>
      <c r="M62" s="138"/>
      <c r="N62" s="192">
        <f t="shared" si="8"/>
        <v>0</v>
      </c>
      <c r="O62" s="251"/>
      <c r="R62" s="122"/>
    </row>
    <row r="63" spans="1:18" ht="31.5" x14ac:dyDescent="0.25">
      <c r="A63" s="255" t="s">
        <v>172</v>
      </c>
      <c r="B63" s="135"/>
      <c r="C63" s="136"/>
      <c r="D63" s="136"/>
      <c r="E63" s="131"/>
      <c r="F63" s="136"/>
      <c r="G63" s="136"/>
      <c r="H63" s="131"/>
      <c r="I63" s="118">
        <f t="shared" si="7"/>
        <v>0</v>
      </c>
      <c r="J63" s="137"/>
      <c r="M63" s="138"/>
      <c r="N63" s="192">
        <f t="shared" si="8"/>
        <v>0</v>
      </c>
      <c r="O63" s="251"/>
      <c r="R63" s="122"/>
    </row>
    <row r="64" spans="1:18" x14ac:dyDescent="0.25">
      <c r="A64" s="255" t="s">
        <v>173</v>
      </c>
      <c r="B64" s="135"/>
      <c r="C64" s="136"/>
      <c r="D64" s="136"/>
      <c r="E64" s="131"/>
      <c r="F64" s="136"/>
      <c r="G64" s="136"/>
      <c r="H64" s="131"/>
      <c r="I64" s="118">
        <f t="shared" si="7"/>
        <v>0</v>
      </c>
      <c r="J64" s="137"/>
      <c r="M64" s="138"/>
      <c r="N64" s="192">
        <f t="shared" si="8"/>
        <v>0</v>
      </c>
      <c r="O64" s="251"/>
      <c r="R64" s="122"/>
    </row>
    <row r="65" spans="1:18" x14ac:dyDescent="0.25">
      <c r="A65" s="255" t="s">
        <v>877</v>
      </c>
      <c r="B65" s="135"/>
      <c r="C65" s="136"/>
      <c r="D65" s="136"/>
      <c r="E65" s="131"/>
      <c r="F65" s="136"/>
      <c r="G65" s="136"/>
      <c r="H65" s="131"/>
      <c r="I65" s="118">
        <f t="shared" si="7"/>
        <v>0</v>
      </c>
      <c r="J65" s="137"/>
      <c r="M65" s="138"/>
      <c r="N65" s="192"/>
      <c r="O65" s="251"/>
      <c r="R65" s="122"/>
    </row>
    <row r="66" spans="1:18" x14ac:dyDescent="0.25">
      <c r="A66" s="255" t="s">
        <v>878</v>
      </c>
      <c r="B66" s="135"/>
      <c r="C66" s="136"/>
      <c r="D66" s="136"/>
      <c r="E66" s="131"/>
      <c r="F66" s="136"/>
      <c r="G66" s="136"/>
      <c r="H66" s="131"/>
      <c r="I66" s="118">
        <f t="shared" si="7"/>
        <v>0</v>
      </c>
      <c r="J66" s="137"/>
      <c r="M66" s="138"/>
      <c r="N66" s="192"/>
      <c r="O66" s="251"/>
      <c r="R66" s="122"/>
    </row>
    <row r="67" spans="1:18" x14ac:dyDescent="0.25">
      <c r="A67" s="255" t="s">
        <v>879</v>
      </c>
      <c r="B67" s="135"/>
      <c r="C67" s="136"/>
      <c r="D67" s="136"/>
      <c r="E67" s="131"/>
      <c r="F67" s="136"/>
      <c r="G67" s="136"/>
      <c r="H67" s="131"/>
      <c r="I67" s="118">
        <f t="shared" si="7"/>
        <v>0</v>
      </c>
      <c r="J67" s="137"/>
      <c r="M67" s="138"/>
      <c r="N67" s="192"/>
      <c r="O67" s="251"/>
      <c r="R67" s="122"/>
    </row>
    <row r="68" spans="1:18" ht="31.5" x14ac:dyDescent="0.25">
      <c r="A68" s="255" t="s">
        <v>880</v>
      </c>
      <c r="B68" s="135"/>
      <c r="C68" s="136"/>
      <c r="D68" s="136"/>
      <c r="E68" s="131"/>
      <c r="F68" s="136"/>
      <c r="G68" s="136"/>
      <c r="H68" s="131"/>
      <c r="I68" s="118">
        <f t="shared" si="7"/>
        <v>0</v>
      </c>
      <c r="J68" s="137"/>
      <c r="M68" s="138"/>
      <c r="N68" s="192"/>
      <c r="O68" s="251"/>
      <c r="R68" s="122"/>
    </row>
    <row r="69" spans="1:18" x14ac:dyDescent="0.25">
      <c r="A69" s="255" t="s">
        <v>174</v>
      </c>
      <c r="B69" s="135"/>
      <c r="C69" s="136"/>
      <c r="D69" s="136"/>
      <c r="E69" s="131"/>
      <c r="F69" s="136"/>
      <c r="G69" s="136"/>
      <c r="H69" s="131"/>
      <c r="I69" s="118">
        <f t="shared" si="7"/>
        <v>0</v>
      </c>
      <c r="J69" s="137"/>
      <c r="M69" s="138"/>
      <c r="N69" s="192">
        <f t="shared" si="8"/>
        <v>0</v>
      </c>
      <c r="O69" s="251"/>
      <c r="R69" s="122"/>
    </row>
    <row r="70" spans="1:18" x14ac:dyDescent="0.25">
      <c r="A70" s="255" t="s">
        <v>175</v>
      </c>
      <c r="B70" s="135"/>
      <c r="C70" s="136"/>
      <c r="D70" s="136"/>
      <c r="E70" s="131"/>
      <c r="F70" s="136"/>
      <c r="G70" s="136"/>
      <c r="H70" s="131"/>
      <c r="I70" s="118">
        <f t="shared" si="7"/>
        <v>0</v>
      </c>
      <c r="J70" s="137"/>
      <c r="M70" s="138"/>
      <c r="N70" s="192">
        <f t="shared" si="8"/>
        <v>0</v>
      </c>
      <c r="O70" s="251"/>
      <c r="R70" s="122"/>
    </row>
    <row r="71" spans="1:18" ht="31.5" x14ac:dyDescent="0.25">
      <c r="A71" s="255" t="s">
        <v>176</v>
      </c>
      <c r="B71" s="135"/>
      <c r="C71" s="136"/>
      <c r="D71" s="136"/>
      <c r="E71" s="131"/>
      <c r="F71" s="136"/>
      <c r="G71" s="136"/>
      <c r="H71" s="131"/>
      <c r="I71" s="118">
        <f t="shared" si="7"/>
        <v>0</v>
      </c>
      <c r="J71" s="137"/>
      <c r="M71" s="138"/>
      <c r="N71" s="192">
        <f t="shared" si="8"/>
        <v>0</v>
      </c>
      <c r="O71" s="251"/>
      <c r="R71" s="122"/>
    </row>
    <row r="72" spans="1:18" ht="31.5" x14ac:dyDescent="0.25">
      <c r="A72" s="255" t="s">
        <v>177</v>
      </c>
      <c r="B72" s="135"/>
      <c r="C72" s="136"/>
      <c r="D72" s="136"/>
      <c r="E72" s="131"/>
      <c r="F72" s="136"/>
      <c r="G72" s="136"/>
      <c r="H72" s="131"/>
      <c r="I72" s="118">
        <f t="shared" si="7"/>
        <v>0</v>
      </c>
      <c r="J72" s="137"/>
      <c r="M72" s="138"/>
      <c r="N72" s="192">
        <f t="shared" si="8"/>
        <v>0</v>
      </c>
      <c r="O72" s="251"/>
      <c r="R72" s="122"/>
    </row>
    <row r="73" spans="1:18" x14ac:dyDescent="0.25">
      <c r="A73" s="255" t="s">
        <v>881</v>
      </c>
      <c r="B73" s="135"/>
      <c r="C73" s="136"/>
      <c r="D73" s="136"/>
      <c r="E73" s="131"/>
      <c r="F73" s="136"/>
      <c r="G73" s="136"/>
      <c r="H73" s="131"/>
      <c r="I73" s="118">
        <f t="shared" si="7"/>
        <v>0</v>
      </c>
      <c r="J73" s="137"/>
      <c r="M73" s="138"/>
      <c r="N73" s="192">
        <f t="shared" si="8"/>
        <v>0</v>
      </c>
      <c r="O73" s="251"/>
      <c r="R73" s="122"/>
    </row>
    <row r="74" spans="1:18" x14ac:dyDescent="0.25">
      <c r="A74" s="255" t="s">
        <v>178</v>
      </c>
      <c r="B74" s="135"/>
      <c r="C74" s="136"/>
      <c r="D74" s="131"/>
      <c r="E74" s="131"/>
      <c r="F74" s="136"/>
      <c r="G74" s="136"/>
      <c r="H74" s="131"/>
      <c r="I74" s="118">
        <f t="shared" si="7"/>
        <v>0</v>
      </c>
      <c r="J74" s="137"/>
      <c r="M74" s="138"/>
      <c r="N74" s="192">
        <f t="shared" si="8"/>
        <v>0</v>
      </c>
      <c r="O74" s="251"/>
      <c r="R74" s="122"/>
    </row>
    <row r="75" spans="1:18" x14ac:dyDescent="0.25">
      <c r="A75" s="255" t="s">
        <v>911</v>
      </c>
      <c r="B75" s="135"/>
      <c r="C75" s="136"/>
      <c r="D75" s="131"/>
      <c r="E75" s="131"/>
      <c r="F75" s="136"/>
      <c r="G75" s="136"/>
      <c r="H75" s="131"/>
      <c r="I75" s="118">
        <f t="shared" si="7"/>
        <v>0</v>
      </c>
      <c r="J75" s="137"/>
      <c r="M75" s="138"/>
      <c r="N75" s="192">
        <f t="shared" si="8"/>
        <v>0</v>
      </c>
      <c r="O75" s="251"/>
      <c r="R75" s="122"/>
    </row>
    <row r="76" spans="1:18" x14ac:dyDescent="0.25">
      <c r="A76" s="255" t="s">
        <v>912</v>
      </c>
      <c r="B76" s="135"/>
      <c r="C76" s="136"/>
      <c r="D76" s="131"/>
      <c r="E76" s="131"/>
      <c r="F76" s="136"/>
      <c r="G76" s="136"/>
      <c r="H76" s="131"/>
      <c r="I76" s="118">
        <f t="shared" si="7"/>
        <v>0</v>
      </c>
      <c r="J76" s="137"/>
      <c r="M76" s="138"/>
      <c r="N76" s="192">
        <f t="shared" si="8"/>
        <v>0</v>
      </c>
      <c r="O76" s="251"/>
      <c r="R76" s="122"/>
    </row>
    <row r="77" spans="1:18" x14ac:dyDescent="0.25">
      <c r="A77" s="256" t="s">
        <v>179</v>
      </c>
      <c r="B77" s="135"/>
      <c r="C77" s="136"/>
      <c r="D77" s="131"/>
      <c r="E77" s="131"/>
      <c r="F77" s="136"/>
      <c r="G77" s="131"/>
      <c r="H77" s="131"/>
      <c r="I77" s="118">
        <f t="shared" si="7"/>
        <v>0</v>
      </c>
      <c r="J77" s="137"/>
      <c r="M77" s="138"/>
      <c r="N77" s="192">
        <f t="shared" si="8"/>
        <v>0</v>
      </c>
      <c r="O77" s="251"/>
      <c r="R77" s="122"/>
    </row>
    <row r="78" spans="1:18" ht="31.5" x14ac:dyDescent="0.25">
      <c r="A78" s="256" t="s">
        <v>180</v>
      </c>
      <c r="B78" s="135"/>
      <c r="C78" s="136"/>
      <c r="D78" s="131"/>
      <c r="E78" s="131"/>
      <c r="F78" s="136"/>
      <c r="G78" s="131"/>
      <c r="H78" s="131"/>
      <c r="I78" s="118">
        <f t="shared" si="7"/>
        <v>0</v>
      </c>
      <c r="J78" s="137"/>
      <c r="M78" s="138"/>
      <c r="N78" s="192">
        <f t="shared" si="8"/>
        <v>0</v>
      </c>
      <c r="O78" s="251"/>
      <c r="R78" s="122"/>
    </row>
    <row r="79" spans="1:18" ht="31.5" x14ac:dyDescent="0.25">
      <c r="A79" s="256" t="s">
        <v>181</v>
      </c>
      <c r="B79" s="135"/>
      <c r="C79" s="136"/>
      <c r="D79" s="131"/>
      <c r="E79" s="131"/>
      <c r="F79" s="136"/>
      <c r="G79" s="131"/>
      <c r="H79" s="131"/>
      <c r="I79" s="118">
        <f t="shared" si="7"/>
        <v>0</v>
      </c>
      <c r="J79" s="137"/>
      <c r="M79" s="138"/>
      <c r="N79" s="192">
        <f t="shared" si="8"/>
        <v>0</v>
      </c>
      <c r="O79" s="251"/>
      <c r="R79" s="122"/>
    </row>
    <row r="80" spans="1:18" ht="16.5" thickBot="1" x14ac:dyDescent="0.3">
      <c r="A80" s="257" t="s">
        <v>882</v>
      </c>
      <c r="B80" s="258"/>
      <c r="C80" s="259"/>
      <c r="D80" s="224"/>
      <c r="E80" s="224"/>
      <c r="F80" s="259"/>
      <c r="G80" s="224"/>
      <c r="H80" s="224"/>
      <c r="I80" s="248">
        <f t="shared" si="7"/>
        <v>0</v>
      </c>
      <c r="J80" s="260"/>
      <c r="K80" s="261"/>
      <c r="L80" s="261"/>
      <c r="M80" s="262"/>
      <c r="N80" s="225">
        <f t="shared" si="8"/>
        <v>0</v>
      </c>
      <c r="O80" s="251"/>
      <c r="R80" s="122"/>
    </row>
    <row r="81" spans="1:15" s="15" customFormat="1" ht="30" customHeight="1" x14ac:dyDescent="0.25">
      <c r="A81" s="139" t="s">
        <v>45</v>
      </c>
      <c r="B81" s="141">
        <f t="shared" ref="B81:H81" si="9">SUM(B82:B107)</f>
        <v>0</v>
      </c>
      <c r="C81" s="141">
        <f t="shared" si="9"/>
        <v>0</v>
      </c>
      <c r="D81" s="141">
        <f t="shared" si="9"/>
        <v>0</v>
      </c>
      <c r="E81" s="141">
        <f t="shared" si="9"/>
        <v>0</v>
      </c>
      <c r="F81" s="141">
        <f t="shared" si="9"/>
        <v>0</v>
      </c>
      <c r="G81" s="141">
        <f t="shared" si="9"/>
        <v>0</v>
      </c>
      <c r="H81" s="141">
        <f t="shared" si="9"/>
        <v>0</v>
      </c>
      <c r="I81" s="142">
        <f t="shared" ref="I81:I166" si="10">SUM(B81:H81)</f>
        <v>0</v>
      </c>
      <c r="J81" s="143"/>
      <c r="K81" s="111"/>
      <c r="L81" s="111"/>
      <c r="M81" s="115"/>
      <c r="N81" s="116">
        <f>SUM(J81:M81)</f>
        <v>0</v>
      </c>
    </row>
    <row r="82" spans="1:15" s="145" customFormat="1" x14ac:dyDescent="0.25">
      <c r="A82" s="119" t="s">
        <v>138</v>
      </c>
      <c r="B82" s="125"/>
      <c r="C82" s="126"/>
      <c r="D82" s="126"/>
      <c r="E82" s="126"/>
      <c r="F82" s="126"/>
      <c r="G82" s="126"/>
      <c r="H82" s="144"/>
      <c r="I82" s="118">
        <f>SUM(B82:H82)</f>
        <v>0</v>
      </c>
      <c r="J82" s="134"/>
      <c r="K82" s="127"/>
      <c r="L82" s="127"/>
      <c r="M82" s="127"/>
      <c r="N82" s="2">
        <f>SUM(J82:M82)</f>
        <v>0</v>
      </c>
    </row>
    <row r="83" spans="1:15" s="145" customFormat="1" x14ac:dyDescent="0.25">
      <c r="A83" s="146" t="s">
        <v>137</v>
      </c>
      <c r="B83" s="147"/>
      <c r="C83" s="6"/>
      <c r="D83" s="6"/>
      <c r="E83" s="6"/>
      <c r="F83" s="6"/>
      <c r="G83" s="6"/>
      <c r="H83" s="148"/>
      <c r="I83" s="118">
        <f t="shared" ref="I83:I107" si="11">SUM(B83:H83)</f>
        <v>0</v>
      </c>
      <c r="J83" s="138"/>
      <c r="K83" s="131"/>
      <c r="L83" s="131"/>
      <c r="M83" s="131"/>
      <c r="N83" s="2">
        <f t="shared" ref="N83:N107" si="12">SUM(J83:M83)</f>
        <v>0</v>
      </c>
    </row>
    <row r="84" spans="1:15" s="145" customFormat="1" x14ac:dyDescent="0.25">
      <c r="A84" s="146" t="s">
        <v>139</v>
      </c>
      <c r="B84" s="147"/>
      <c r="C84" s="6"/>
      <c r="D84" s="6"/>
      <c r="E84" s="6"/>
      <c r="F84" s="6"/>
      <c r="G84" s="6"/>
      <c r="H84" s="148"/>
      <c r="I84" s="118">
        <f t="shared" si="11"/>
        <v>0</v>
      </c>
      <c r="J84" s="138"/>
      <c r="K84" s="131"/>
      <c r="L84" s="131"/>
      <c r="M84" s="131"/>
      <c r="N84" s="2">
        <f t="shared" si="12"/>
        <v>0</v>
      </c>
    </row>
    <row r="85" spans="1:15" s="145" customFormat="1" x14ac:dyDescent="0.25">
      <c r="A85" s="146" t="s">
        <v>141</v>
      </c>
      <c r="B85" s="147"/>
      <c r="C85" s="6"/>
      <c r="D85" s="6"/>
      <c r="E85" s="6"/>
      <c r="F85" s="6"/>
      <c r="G85" s="6"/>
      <c r="H85" s="148"/>
      <c r="I85" s="118">
        <f t="shared" si="11"/>
        <v>0</v>
      </c>
      <c r="J85" s="138"/>
      <c r="K85" s="131"/>
      <c r="L85" s="131"/>
      <c r="M85" s="131"/>
      <c r="N85" s="2">
        <f t="shared" si="12"/>
        <v>0</v>
      </c>
    </row>
    <row r="86" spans="1:15" s="145" customFormat="1" x14ac:dyDescent="0.25">
      <c r="A86" s="146" t="s">
        <v>140</v>
      </c>
      <c r="B86" s="147"/>
      <c r="C86" s="6"/>
      <c r="D86" s="6"/>
      <c r="E86" s="6"/>
      <c r="F86" s="6"/>
      <c r="G86" s="6"/>
      <c r="H86" s="148"/>
      <c r="I86" s="118">
        <f t="shared" si="11"/>
        <v>0</v>
      </c>
      <c r="J86" s="138"/>
      <c r="K86" s="131"/>
      <c r="L86" s="131"/>
      <c r="M86" s="131"/>
      <c r="N86" s="2">
        <f t="shared" si="12"/>
        <v>0</v>
      </c>
    </row>
    <row r="87" spans="1:15" s="145" customFormat="1" x14ac:dyDescent="0.25">
      <c r="A87" s="146" t="s">
        <v>184</v>
      </c>
      <c r="B87" s="147"/>
      <c r="C87" s="6"/>
      <c r="D87" s="6"/>
      <c r="E87" s="6"/>
      <c r="F87" s="6"/>
      <c r="G87" s="6"/>
      <c r="H87" s="148"/>
      <c r="I87" s="118"/>
      <c r="J87" s="138"/>
      <c r="K87" s="131"/>
      <c r="L87" s="131"/>
      <c r="M87" s="131"/>
      <c r="N87" s="2">
        <f t="shared" si="12"/>
        <v>0</v>
      </c>
      <c r="O87" s="144"/>
    </row>
    <row r="88" spans="1:15" s="145" customFormat="1" ht="31.5" customHeight="1" x14ac:dyDescent="0.25">
      <c r="A88" s="146" t="s">
        <v>236</v>
      </c>
      <c r="B88" s="147"/>
      <c r="C88" s="6"/>
      <c r="D88" s="6"/>
      <c r="E88" s="6"/>
      <c r="F88" s="6"/>
      <c r="G88" s="6"/>
      <c r="H88" s="148"/>
      <c r="I88" s="118">
        <f t="shared" si="11"/>
        <v>0</v>
      </c>
      <c r="J88" s="138"/>
      <c r="K88" s="131"/>
      <c r="L88" s="131"/>
      <c r="M88" s="131"/>
      <c r="N88" s="2">
        <f t="shared" si="12"/>
        <v>0</v>
      </c>
    </row>
    <row r="89" spans="1:15" s="145" customFormat="1" ht="30.75" customHeight="1" x14ac:dyDescent="0.25">
      <c r="A89" s="146" t="s">
        <v>237</v>
      </c>
      <c r="B89" s="147"/>
      <c r="C89" s="6"/>
      <c r="D89" s="6"/>
      <c r="E89" s="6"/>
      <c r="F89" s="6"/>
      <c r="G89" s="6"/>
      <c r="H89" s="148"/>
      <c r="I89" s="118">
        <f t="shared" si="11"/>
        <v>0</v>
      </c>
      <c r="J89" s="138"/>
      <c r="K89" s="131"/>
      <c r="L89" s="131"/>
      <c r="M89" s="131"/>
      <c r="N89" s="2">
        <f t="shared" si="12"/>
        <v>0</v>
      </c>
    </row>
    <row r="90" spans="1:15" s="145" customFormat="1" ht="31.5" x14ac:dyDescent="0.25">
      <c r="A90" s="146" t="s">
        <v>238</v>
      </c>
      <c r="B90" s="147"/>
      <c r="C90" s="6"/>
      <c r="D90" s="6"/>
      <c r="E90" s="6"/>
      <c r="F90" s="6"/>
      <c r="G90" s="6"/>
      <c r="H90" s="148"/>
      <c r="I90" s="118">
        <f t="shared" si="11"/>
        <v>0</v>
      </c>
      <c r="J90" s="138"/>
      <c r="K90" s="131"/>
      <c r="L90" s="131"/>
      <c r="M90" s="131"/>
      <c r="N90" s="2">
        <f t="shared" si="12"/>
        <v>0</v>
      </c>
    </row>
    <row r="91" spans="1:15" s="145" customFormat="1" ht="63" customHeight="1" x14ac:dyDescent="0.25">
      <c r="A91" s="146" t="s">
        <v>239</v>
      </c>
      <c r="B91" s="147"/>
      <c r="C91" s="6"/>
      <c r="D91" s="6"/>
      <c r="E91" s="6"/>
      <c r="F91" s="6"/>
      <c r="G91" s="6"/>
      <c r="H91" s="148"/>
      <c r="I91" s="118">
        <f t="shared" si="11"/>
        <v>0</v>
      </c>
      <c r="J91" s="138"/>
      <c r="K91" s="131"/>
      <c r="L91" s="131"/>
      <c r="M91" s="131"/>
      <c r="N91" s="2">
        <f t="shared" si="12"/>
        <v>0</v>
      </c>
    </row>
    <row r="92" spans="1:15" s="145" customFormat="1" ht="51.75" customHeight="1" x14ac:dyDescent="0.25">
      <c r="A92" s="146" t="s">
        <v>240</v>
      </c>
      <c r="B92" s="147"/>
      <c r="C92" s="6"/>
      <c r="D92" s="6"/>
      <c r="E92" s="6"/>
      <c r="F92" s="6"/>
      <c r="G92" s="6"/>
      <c r="H92" s="148"/>
      <c r="I92" s="118">
        <f t="shared" si="11"/>
        <v>0</v>
      </c>
      <c r="J92" s="138"/>
      <c r="K92" s="131"/>
      <c r="L92" s="131"/>
      <c r="M92" s="131"/>
      <c r="N92" s="2">
        <f t="shared" si="12"/>
        <v>0</v>
      </c>
    </row>
    <row r="93" spans="1:15" s="145" customFormat="1" x14ac:dyDescent="0.25">
      <c r="A93" s="146" t="s">
        <v>241</v>
      </c>
      <c r="B93" s="147"/>
      <c r="C93" s="6"/>
      <c r="D93" s="6"/>
      <c r="E93" s="6"/>
      <c r="F93" s="6"/>
      <c r="G93" s="6"/>
      <c r="H93" s="148"/>
      <c r="I93" s="118">
        <f t="shared" si="11"/>
        <v>0</v>
      </c>
      <c r="J93" s="138"/>
      <c r="K93" s="131"/>
      <c r="L93" s="131"/>
      <c r="M93" s="131"/>
      <c r="N93" s="2">
        <f t="shared" si="12"/>
        <v>0</v>
      </c>
    </row>
    <row r="94" spans="1:15" s="145" customFormat="1" x14ac:dyDescent="0.25">
      <c r="A94" s="146" t="s">
        <v>242</v>
      </c>
      <c r="B94" s="147"/>
      <c r="C94" s="6"/>
      <c r="D94" s="6"/>
      <c r="E94" s="6"/>
      <c r="F94" s="6"/>
      <c r="G94" s="6"/>
      <c r="H94" s="148"/>
      <c r="I94" s="118">
        <f t="shared" si="11"/>
        <v>0</v>
      </c>
      <c r="J94" s="138"/>
      <c r="K94" s="131"/>
      <c r="L94" s="131"/>
      <c r="M94" s="131"/>
      <c r="N94" s="2">
        <f t="shared" si="12"/>
        <v>0</v>
      </c>
    </row>
    <row r="95" spans="1:15" s="145" customFormat="1" ht="31.5" x14ac:dyDescent="0.25">
      <c r="A95" s="146" t="s">
        <v>243</v>
      </c>
      <c r="B95" s="147"/>
      <c r="C95" s="6"/>
      <c r="D95" s="6"/>
      <c r="E95" s="6"/>
      <c r="F95" s="6"/>
      <c r="G95" s="6"/>
      <c r="H95" s="148"/>
      <c r="I95" s="118">
        <f t="shared" si="11"/>
        <v>0</v>
      </c>
      <c r="J95" s="138"/>
      <c r="K95" s="131"/>
      <c r="L95" s="131"/>
      <c r="M95" s="131"/>
      <c r="N95" s="2">
        <f t="shared" si="12"/>
        <v>0</v>
      </c>
    </row>
    <row r="96" spans="1:15" s="145" customFormat="1" x14ac:dyDescent="0.25">
      <c r="A96" s="146" t="s">
        <v>244</v>
      </c>
      <c r="B96" s="147"/>
      <c r="C96" s="6"/>
      <c r="D96" s="6"/>
      <c r="E96" s="6"/>
      <c r="F96" s="6"/>
      <c r="G96" s="6"/>
      <c r="H96" s="148"/>
      <c r="I96" s="118">
        <f t="shared" si="11"/>
        <v>0</v>
      </c>
      <c r="J96" s="138"/>
      <c r="K96" s="131"/>
      <c r="L96" s="131"/>
      <c r="M96" s="131"/>
      <c r="N96" s="2">
        <f t="shared" si="12"/>
        <v>0</v>
      </c>
    </row>
    <row r="97" spans="1:14" s="145" customFormat="1" x14ac:dyDescent="0.25">
      <c r="A97" s="146" t="s">
        <v>245</v>
      </c>
      <c r="B97" s="147"/>
      <c r="C97" s="6"/>
      <c r="D97" s="6"/>
      <c r="E97" s="6"/>
      <c r="F97" s="6"/>
      <c r="G97" s="6"/>
      <c r="H97" s="148"/>
      <c r="I97" s="118">
        <f t="shared" si="11"/>
        <v>0</v>
      </c>
      <c r="J97" s="138"/>
      <c r="K97" s="131"/>
      <c r="L97" s="131"/>
      <c r="M97" s="131"/>
      <c r="N97" s="2">
        <f t="shared" si="12"/>
        <v>0</v>
      </c>
    </row>
    <row r="98" spans="1:14" s="145" customFormat="1" x14ac:dyDescent="0.25">
      <c r="A98" s="146" t="s">
        <v>246</v>
      </c>
      <c r="B98" s="147"/>
      <c r="C98" s="6"/>
      <c r="D98" s="6"/>
      <c r="E98" s="6"/>
      <c r="F98" s="6"/>
      <c r="G98" s="6"/>
      <c r="H98" s="148"/>
      <c r="I98" s="118">
        <f t="shared" si="11"/>
        <v>0</v>
      </c>
      <c r="J98" s="138"/>
      <c r="K98" s="131"/>
      <c r="L98" s="131"/>
      <c r="M98" s="131"/>
      <c r="N98" s="2">
        <f t="shared" si="12"/>
        <v>0</v>
      </c>
    </row>
    <row r="99" spans="1:14" s="145" customFormat="1" x14ac:dyDescent="0.25">
      <c r="A99" s="146" t="s">
        <v>247</v>
      </c>
      <c r="B99" s="147"/>
      <c r="C99" s="6"/>
      <c r="D99" s="6"/>
      <c r="E99" s="6"/>
      <c r="F99" s="6"/>
      <c r="G99" s="6"/>
      <c r="H99" s="148"/>
      <c r="I99" s="118">
        <f t="shared" si="11"/>
        <v>0</v>
      </c>
      <c r="J99" s="138"/>
      <c r="K99" s="131"/>
      <c r="L99" s="131"/>
      <c r="M99" s="131"/>
      <c r="N99" s="2">
        <f t="shared" si="12"/>
        <v>0</v>
      </c>
    </row>
    <row r="100" spans="1:14" s="145" customFormat="1" ht="31.5" x14ac:dyDescent="0.25">
      <c r="A100" s="146" t="s">
        <v>931</v>
      </c>
      <c r="B100" s="147"/>
      <c r="C100" s="6"/>
      <c r="D100" s="6"/>
      <c r="E100" s="6"/>
      <c r="F100" s="6"/>
      <c r="G100" s="6"/>
      <c r="H100" s="148"/>
      <c r="I100" s="118"/>
      <c r="J100" s="138"/>
      <c r="K100" s="131"/>
      <c r="L100" s="131"/>
      <c r="M100" s="131"/>
      <c r="N100" s="2">
        <f t="shared" ref="N100" si="13">SUM(J100:M100)</f>
        <v>0</v>
      </c>
    </row>
    <row r="101" spans="1:14" s="145" customFormat="1" x14ac:dyDescent="0.25">
      <c r="A101" s="146" t="s">
        <v>932</v>
      </c>
      <c r="B101" s="147"/>
      <c r="C101" s="6"/>
      <c r="D101" s="6"/>
      <c r="E101" s="6"/>
      <c r="F101" s="6"/>
      <c r="G101" s="6"/>
      <c r="H101" s="148"/>
      <c r="I101" s="118">
        <f>C101+H101</f>
        <v>0</v>
      </c>
      <c r="J101" s="138"/>
      <c r="K101" s="131"/>
      <c r="L101" s="131"/>
      <c r="M101" s="131"/>
      <c r="N101" s="2"/>
    </row>
    <row r="102" spans="1:14" s="145" customFormat="1" x14ac:dyDescent="0.25">
      <c r="A102" s="146" t="s">
        <v>907</v>
      </c>
      <c r="B102" s="147"/>
      <c r="C102" s="6"/>
      <c r="D102" s="6"/>
      <c r="E102" s="6"/>
      <c r="F102" s="6"/>
      <c r="G102" s="6"/>
      <c r="H102" s="148"/>
      <c r="I102" s="118">
        <f t="shared" ref="I102:I106" si="14">SUM(B102:H102)</f>
        <v>0</v>
      </c>
      <c r="J102" s="138"/>
      <c r="K102" s="131"/>
      <c r="L102" s="131"/>
      <c r="M102" s="131"/>
      <c r="N102" s="2">
        <f t="shared" si="12"/>
        <v>0</v>
      </c>
    </row>
    <row r="103" spans="1:14" s="145" customFormat="1" x14ac:dyDescent="0.25">
      <c r="A103" s="146" t="s">
        <v>913</v>
      </c>
      <c r="B103" s="147"/>
      <c r="C103" s="6"/>
      <c r="D103" s="6"/>
      <c r="E103" s="6"/>
      <c r="F103" s="6"/>
      <c r="G103" s="6"/>
      <c r="H103" s="148"/>
      <c r="I103" s="118">
        <f t="shared" si="14"/>
        <v>0</v>
      </c>
      <c r="J103" s="138"/>
      <c r="K103" s="131"/>
      <c r="L103" s="131"/>
      <c r="M103" s="131"/>
      <c r="N103" s="2">
        <f t="shared" si="12"/>
        <v>0</v>
      </c>
    </row>
    <row r="104" spans="1:14" s="145" customFormat="1" x14ac:dyDescent="0.25">
      <c r="A104" s="146" t="s">
        <v>914</v>
      </c>
      <c r="B104" s="147"/>
      <c r="C104" s="6"/>
      <c r="D104" s="6"/>
      <c r="E104" s="6"/>
      <c r="F104" s="6"/>
      <c r="G104" s="6"/>
      <c r="H104" s="148"/>
      <c r="I104" s="118">
        <f t="shared" si="14"/>
        <v>0</v>
      </c>
      <c r="J104" s="138"/>
      <c r="K104" s="131"/>
      <c r="L104" s="131"/>
      <c r="M104" s="131"/>
      <c r="N104" s="2"/>
    </row>
    <row r="105" spans="1:14" s="145" customFormat="1" x14ac:dyDescent="0.25">
      <c r="A105" s="146" t="s">
        <v>915</v>
      </c>
      <c r="B105" s="147"/>
      <c r="C105" s="6"/>
      <c r="D105" s="6"/>
      <c r="E105" s="6"/>
      <c r="F105" s="6"/>
      <c r="G105" s="6"/>
      <c r="H105" s="148"/>
      <c r="I105" s="118">
        <f t="shared" si="14"/>
        <v>0</v>
      </c>
      <c r="J105" s="138"/>
      <c r="K105" s="131"/>
      <c r="L105" s="131"/>
      <c r="M105" s="131"/>
      <c r="N105" s="2"/>
    </row>
    <row r="106" spans="1:14" s="145" customFormat="1" x14ac:dyDescent="0.25">
      <c r="A106" s="146" t="s">
        <v>916</v>
      </c>
      <c r="B106" s="147"/>
      <c r="C106" s="6"/>
      <c r="D106" s="6"/>
      <c r="E106" s="6"/>
      <c r="F106" s="6"/>
      <c r="G106" s="6"/>
      <c r="H106" s="148"/>
      <c r="I106" s="118">
        <f t="shared" si="14"/>
        <v>0</v>
      </c>
      <c r="J106" s="138"/>
      <c r="K106" s="131"/>
      <c r="L106" s="131"/>
      <c r="M106" s="131"/>
      <c r="N106" s="2"/>
    </row>
    <row r="107" spans="1:14" s="145" customFormat="1" ht="16.5" thickBot="1" x14ac:dyDescent="0.3">
      <c r="A107" s="146" t="s">
        <v>201</v>
      </c>
      <c r="B107" s="147"/>
      <c r="C107" s="6"/>
      <c r="D107" s="6"/>
      <c r="E107" s="6"/>
      <c r="F107" s="6"/>
      <c r="G107" s="6"/>
      <c r="H107" s="148"/>
      <c r="I107" s="118">
        <f t="shared" si="11"/>
        <v>0</v>
      </c>
      <c r="J107" s="138"/>
      <c r="K107" s="131"/>
      <c r="L107" s="131"/>
      <c r="M107" s="131"/>
      <c r="N107" s="2">
        <f t="shared" si="12"/>
        <v>0</v>
      </c>
    </row>
    <row r="108" spans="1:14" s="151" customFormat="1" ht="30" customHeight="1" thickTop="1" x14ac:dyDescent="0.25">
      <c r="A108" s="123" t="s">
        <v>46</v>
      </c>
      <c r="B108" s="149">
        <f t="shared" ref="B108:D108" si="15">SUM(B110:B128)</f>
        <v>0</v>
      </c>
      <c r="C108" s="149">
        <f t="shared" si="15"/>
        <v>0</v>
      </c>
      <c r="D108" s="149">
        <f t="shared" si="15"/>
        <v>0</v>
      </c>
      <c r="E108" s="149"/>
      <c r="F108" s="149"/>
      <c r="G108" s="149"/>
      <c r="H108" s="149"/>
      <c r="I108" s="149">
        <f>SUM(B108:H108)</f>
        <v>0</v>
      </c>
      <c r="J108" s="150">
        <f>SUM(J109:J128)</f>
        <v>0</v>
      </c>
      <c r="K108" s="150">
        <f>SUM(K109:K128)</f>
        <v>0</v>
      </c>
      <c r="L108" s="150">
        <f>SUM(L109:L128)</f>
        <v>0</v>
      </c>
      <c r="M108" s="150">
        <f>SUM(M109:M128)</f>
        <v>0</v>
      </c>
      <c r="N108" s="124">
        <f>SUM(J108:M108)</f>
        <v>0</v>
      </c>
    </row>
    <row r="109" spans="1:14" s="151" customFormat="1" x14ac:dyDescent="0.25">
      <c r="A109" s="139" t="s">
        <v>143</v>
      </c>
      <c r="B109" s="163"/>
      <c r="C109" s="141"/>
      <c r="D109" s="141"/>
      <c r="E109" s="141"/>
      <c r="F109" s="141"/>
      <c r="G109" s="141"/>
      <c r="H109" s="141"/>
      <c r="I109" s="142"/>
      <c r="J109" s="164"/>
      <c r="K109" s="141"/>
      <c r="L109" s="141"/>
      <c r="M109" s="141"/>
      <c r="N109" s="116"/>
    </row>
    <row r="110" spans="1:14" ht="30.75" customHeight="1" x14ac:dyDescent="0.25">
      <c r="A110" s="140" t="s">
        <v>218</v>
      </c>
      <c r="B110" s="152"/>
      <c r="C110" s="153"/>
      <c r="D110" s="6"/>
      <c r="E110" s="153"/>
      <c r="F110" s="153"/>
      <c r="G110" s="153"/>
      <c r="H110" s="131"/>
      <c r="I110" s="142">
        <f t="shared" ref="I110:I128" si="16">SUM(B110:H110)</f>
        <v>0</v>
      </c>
      <c r="J110" s="138"/>
      <c r="K110" s="138"/>
      <c r="L110" s="131"/>
      <c r="M110" s="138"/>
      <c r="N110" s="116">
        <f t="shared" ref="N110:N128" si="17">SUM(J110:M110)</f>
        <v>0</v>
      </c>
    </row>
    <row r="111" spans="1:14" x14ac:dyDescent="0.25">
      <c r="A111" s="139" t="s">
        <v>144</v>
      </c>
      <c r="B111" s="152"/>
      <c r="C111" s="153"/>
      <c r="D111" s="6"/>
      <c r="E111" s="153"/>
      <c r="F111" s="153"/>
      <c r="G111" s="153"/>
      <c r="H111" s="131"/>
      <c r="I111" s="142"/>
      <c r="J111" s="138"/>
      <c r="K111" s="138"/>
      <c r="L111" s="131"/>
      <c r="M111" s="138"/>
      <c r="N111" s="116"/>
    </row>
    <row r="112" spans="1:14" ht="31.5" x14ac:dyDescent="0.25">
      <c r="A112" s="140" t="s">
        <v>219</v>
      </c>
      <c r="B112" s="152"/>
      <c r="C112" s="153"/>
      <c r="D112" s="6"/>
      <c r="E112" s="153"/>
      <c r="F112" s="153"/>
      <c r="G112" s="153"/>
      <c r="H112" s="131"/>
      <c r="I112" s="142">
        <f t="shared" si="16"/>
        <v>0</v>
      </c>
      <c r="J112" s="138"/>
      <c r="K112" s="138"/>
      <c r="L112" s="131"/>
      <c r="M112" s="138"/>
      <c r="N112" s="116">
        <f t="shared" si="17"/>
        <v>0</v>
      </c>
    </row>
    <row r="113" spans="1:14" ht="31.5" x14ac:dyDescent="0.25">
      <c r="A113" s="140" t="s">
        <v>220</v>
      </c>
      <c r="B113" s="152"/>
      <c r="C113" s="153"/>
      <c r="D113" s="6"/>
      <c r="E113" s="153"/>
      <c r="F113" s="153"/>
      <c r="G113" s="153"/>
      <c r="H113" s="131"/>
      <c r="I113" s="142">
        <f t="shared" si="16"/>
        <v>0</v>
      </c>
      <c r="J113" s="138"/>
      <c r="K113" s="138"/>
      <c r="L113" s="131"/>
      <c r="M113" s="138"/>
      <c r="N113" s="116">
        <f t="shared" si="17"/>
        <v>0</v>
      </c>
    </row>
    <row r="114" spans="1:14" ht="31.5" x14ac:dyDescent="0.25">
      <c r="A114" s="140" t="s">
        <v>221</v>
      </c>
      <c r="B114" s="152"/>
      <c r="C114" s="153"/>
      <c r="D114" s="6"/>
      <c r="E114" s="153"/>
      <c r="F114" s="153"/>
      <c r="G114" s="153"/>
      <c r="H114" s="131"/>
      <c r="I114" s="142">
        <f t="shared" si="16"/>
        <v>0</v>
      </c>
      <c r="J114" s="138"/>
      <c r="K114" s="138"/>
      <c r="L114" s="131"/>
      <c r="M114" s="138"/>
      <c r="N114" s="116">
        <f t="shared" si="17"/>
        <v>0</v>
      </c>
    </row>
    <row r="115" spans="1:14" x14ac:dyDescent="0.25">
      <c r="A115" s="139" t="s">
        <v>145</v>
      </c>
      <c r="B115" s="152"/>
      <c r="C115" s="153"/>
      <c r="D115" s="6"/>
      <c r="E115" s="153"/>
      <c r="F115" s="153"/>
      <c r="G115" s="153"/>
      <c r="H115" s="131"/>
      <c r="I115" s="142"/>
      <c r="J115" s="138"/>
      <c r="K115" s="138"/>
      <c r="L115" s="131"/>
      <c r="M115" s="138"/>
      <c r="N115" s="116"/>
    </row>
    <row r="116" spans="1:14" x14ac:dyDescent="0.25">
      <c r="A116" s="140" t="s">
        <v>222</v>
      </c>
      <c r="B116" s="152"/>
      <c r="C116" s="153"/>
      <c r="D116" s="6"/>
      <c r="E116" s="153"/>
      <c r="F116" s="153"/>
      <c r="G116" s="153"/>
      <c r="H116" s="131"/>
      <c r="I116" s="142">
        <f t="shared" si="16"/>
        <v>0</v>
      </c>
      <c r="J116" s="138"/>
      <c r="K116" s="138"/>
      <c r="L116" s="131"/>
      <c r="M116" s="138"/>
      <c r="N116" s="116">
        <f t="shared" si="17"/>
        <v>0</v>
      </c>
    </row>
    <row r="117" spans="1:14" x14ac:dyDescent="0.25">
      <c r="A117" s="139" t="s">
        <v>146</v>
      </c>
      <c r="B117" s="152"/>
      <c r="C117" s="153"/>
      <c r="D117" s="6"/>
      <c r="E117" s="153"/>
      <c r="F117" s="153"/>
      <c r="G117" s="153"/>
      <c r="H117" s="131"/>
      <c r="I117" s="142"/>
      <c r="J117" s="138"/>
      <c r="K117" s="138"/>
      <c r="L117" s="131"/>
      <c r="M117" s="138"/>
      <c r="N117" s="116"/>
    </row>
    <row r="118" spans="1:14" ht="31.5" x14ac:dyDescent="0.25">
      <c r="A118" s="140" t="s">
        <v>223</v>
      </c>
      <c r="B118" s="152"/>
      <c r="C118" s="153"/>
      <c r="D118" s="6"/>
      <c r="E118" s="153"/>
      <c r="F118" s="153"/>
      <c r="G118" s="153"/>
      <c r="H118" s="131"/>
      <c r="I118" s="142">
        <f t="shared" si="16"/>
        <v>0</v>
      </c>
      <c r="J118" s="138"/>
      <c r="K118" s="138"/>
      <c r="L118" s="131"/>
      <c r="M118" s="138"/>
      <c r="N118" s="116">
        <f t="shared" si="17"/>
        <v>0</v>
      </c>
    </row>
    <row r="119" spans="1:14" x14ac:dyDescent="0.25">
      <c r="A119" s="140" t="s">
        <v>224</v>
      </c>
      <c r="B119" s="152"/>
      <c r="C119" s="153"/>
      <c r="D119" s="6"/>
      <c r="E119" s="153"/>
      <c r="F119" s="153"/>
      <c r="G119" s="153"/>
      <c r="H119" s="131"/>
      <c r="I119" s="142">
        <f t="shared" si="16"/>
        <v>0</v>
      </c>
      <c r="J119" s="138"/>
      <c r="K119" s="138"/>
      <c r="L119" s="131"/>
      <c r="M119" s="138"/>
      <c r="N119" s="116">
        <f t="shared" si="17"/>
        <v>0</v>
      </c>
    </row>
    <row r="120" spans="1:14" x14ac:dyDescent="0.25">
      <c r="A120" s="139" t="s">
        <v>147</v>
      </c>
      <c r="B120" s="152"/>
      <c r="C120" s="153"/>
      <c r="D120" s="6"/>
      <c r="E120" s="153"/>
      <c r="F120" s="153"/>
      <c r="G120" s="153"/>
      <c r="H120" s="131"/>
      <c r="I120" s="142"/>
      <c r="J120" s="138"/>
      <c r="K120" s="138"/>
      <c r="L120" s="131"/>
      <c r="M120" s="138"/>
      <c r="N120" s="116"/>
    </row>
    <row r="121" spans="1:14" x14ac:dyDescent="0.25">
      <c r="A121" s="140" t="s">
        <v>148</v>
      </c>
      <c r="B121" s="152"/>
      <c r="C121" s="153"/>
      <c r="D121" s="6"/>
      <c r="E121" s="153"/>
      <c r="F121" s="153"/>
      <c r="G121" s="153"/>
      <c r="H121" s="131"/>
      <c r="I121" s="142">
        <f t="shared" si="16"/>
        <v>0</v>
      </c>
      <c r="J121" s="138"/>
      <c r="K121" s="138"/>
      <c r="L121" s="131"/>
      <c r="M121" s="138"/>
      <c r="N121" s="116">
        <f t="shared" si="17"/>
        <v>0</v>
      </c>
    </row>
    <row r="122" spans="1:14" x14ac:dyDescent="0.25">
      <c r="A122" s="139" t="s">
        <v>149</v>
      </c>
      <c r="B122" s="152"/>
      <c r="C122" s="153"/>
      <c r="D122" s="6"/>
      <c r="E122" s="153"/>
      <c r="F122" s="153"/>
      <c r="G122" s="153"/>
      <c r="H122" s="131"/>
      <c r="I122" s="142"/>
      <c r="J122" s="138"/>
      <c r="K122" s="138"/>
      <c r="L122" s="131"/>
      <c r="M122" s="138"/>
      <c r="N122" s="116"/>
    </row>
    <row r="123" spans="1:14" ht="31.5" x14ac:dyDescent="0.25">
      <c r="A123" s="140" t="s">
        <v>225</v>
      </c>
      <c r="B123" s="152"/>
      <c r="C123" s="153"/>
      <c r="D123" s="6"/>
      <c r="E123" s="153"/>
      <c r="F123" s="153"/>
      <c r="G123" s="153"/>
      <c r="H123" s="131"/>
      <c r="I123" s="142">
        <f t="shared" si="16"/>
        <v>0</v>
      </c>
      <c r="J123" s="138"/>
      <c r="K123" s="138"/>
      <c r="L123" s="131"/>
      <c r="M123" s="138"/>
      <c r="N123" s="116">
        <f t="shared" si="17"/>
        <v>0</v>
      </c>
    </row>
    <row r="124" spans="1:14" ht="31.5" x14ac:dyDescent="0.25">
      <c r="A124" s="140" t="s">
        <v>226</v>
      </c>
      <c r="B124" s="152"/>
      <c r="C124" s="153"/>
      <c r="D124" s="6"/>
      <c r="E124" s="153"/>
      <c r="F124" s="153"/>
      <c r="G124" s="153"/>
      <c r="H124" s="131"/>
      <c r="I124" s="142">
        <f t="shared" si="16"/>
        <v>0</v>
      </c>
      <c r="J124" s="138"/>
      <c r="K124" s="138"/>
      <c r="L124" s="131"/>
      <c r="M124" s="138"/>
      <c r="N124" s="116">
        <f t="shared" si="17"/>
        <v>0</v>
      </c>
    </row>
    <row r="125" spans="1:14" x14ac:dyDescent="0.25">
      <c r="A125" s="140" t="s">
        <v>227</v>
      </c>
      <c r="B125" s="152"/>
      <c r="C125" s="153"/>
      <c r="D125" s="6"/>
      <c r="E125" s="153"/>
      <c r="F125" s="153"/>
      <c r="G125" s="153"/>
      <c r="H125" s="131"/>
      <c r="I125" s="142">
        <f t="shared" si="16"/>
        <v>0</v>
      </c>
      <c r="J125" s="138"/>
      <c r="K125" s="138"/>
      <c r="L125" s="131"/>
      <c r="M125" s="138"/>
      <c r="N125" s="116">
        <f t="shared" si="17"/>
        <v>0</v>
      </c>
    </row>
    <row r="126" spans="1:14" x14ac:dyDescent="0.25">
      <c r="A126" s="140" t="s">
        <v>228</v>
      </c>
      <c r="B126" s="152"/>
      <c r="C126" s="153"/>
      <c r="D126" s="6"/>
      <c r="E126" s="153"/>
      <c r="F126" s="153"/>
      <c r="G126" s="153"/>
      <c r="H126" s="131"/>
      <c r="I126" s="142">
        <f t="shared" si="16"/>
        <v>0</v>
      </c>
      <c r="J126" s="138"/>
      <c r="K126" s="138"/>
      <c r="L126" s="131"/>
      <c r="M126" s="138"/>
      <c r="N126" s="116">
        <f t="shared" si="17"/>
        <v>0</v>
      </c>
    </row>
    <row r="127" spans="1:14" x14ac:dyDescent="0.25">
      <c r="A127" s="140" t="s">
        <v>254</v>
      </c>
      <c r="B127" s="152"/>
      <c r="C127" s="153"/>
      <c r="D127" s="6"/>
      <c r="E127" s="153"/>
      <c r="F127" s="153"/>
      <c r="G127" s="153"/>
      <c r="H127" s="131"/>
      <c r="I127" s="142">
        <f t="shared" si="16"/>
        <v>0</v>
      </c>
      <c r="J127" s="138"/>
      <c r="K127" s="138"/>
      <c r="L127" s="131"/>
      <c r="M127" s="138"/>
      <c r="N127" s="116">
        <f t="shared" si="17"/>
        <v>0</v>
      </c>
    </row>
    <row r="128" spans="1:14" ht="16.5" thickBot="1" x14ac:dyDescent="0.3">
      <c r="A128" s="140" t="s">
        <v>202</v>
      </c>
      <c r="B128" s="152"/>
      <c r="C128" s="153"/>
      <c r="D128" s="6"/>
      <c r="E128" s="153"/>
      <c r="F128" s="153"/>
      <c r="G128" s="153"/>
      <c r="H128" s="131"/>
      <c r="I128" s="142">
        <f t="shared" si="16"/>
        <v>0</v>
      </c>
      <c r="J128" s="138"/>
      <c r="K128" s="138"/>
      <c r="L128" s="131"/>
      <c r="M128" s="138"/>
      <c r="N128" s="116">
        <f t="shared" si="17"/>
        <v>0</v>
      </c>
    </row>
    <row r="129" spans="1:14" s="158" customFormat="1" ht="30.75" customHeight="1" thickTop="1" x14ac:dyDescent="0.25">
      <c r="A129" s="154" t="s">
        <v>47</v>
      </c>
      <c r="B129" s="155">
        <f t="shared" ref="B129:D129" si="18">SUM(B130:B143)</f>
        <v>0</v>
      </c>
      <c r="C129" s="155">
        <f t="shared" si="18"/>
        <v>0</v>
      </c>
      <c r="D129" s="155">
        <f t="shared" si="18"/>
        <v>0</v>
      </c>
      <c r="E129" s="155"/>
      <c r="F129" s="155"/>
      <c r="G129" s="155"/>
      <c r="H129" s="155"/>
      <c r="I129" s="156">
        <f t="shared" si="10"/>
        <v>0</v>
      </c>
      <c r="J129" s="157">
        <f>SUM(J130:J143)</f>
        <v>0</v>
      </c>
      <c r="K129" s="157">
        <f>SUM(K130:K143)</f>
        <v>0</v>
      </c>
      <c r="L129" s="157">
        <f>SUM(L130:L143)</f>
        <v>0</v>
      </c>
      <c r="M129" s="157">
        <f>SUM(M130:M143)</f>
        <v>0</v>
      </c>
      <c r="N129" s="124">
        <f t="shared" ref="N129:N159" si="19">SUM(J129:M129)</f>
        <v>0</v>
      </c>
    </row>
    <row r="130" spans="1:14" s="158" customFormat="1" x14ac:dyDescent="0.25">
      <c r="A130" s="139" t="s">
        <v>146</v>
      </c>
      <c r="B130" s="110"/>
      <c r="C130" s="111"/>
      <c r="D130" s="111"/>
      <c r="E130" s="111"/>
      <c r="F130" s="111"/>
      <c r="G130" s="111"/>
      <c r="H130" s="111"/>
      <c r="I130" s="112"/>
      <c r="J130" s="138"/>
      <c r="K130" s="138"/>
      <c r="L130" s="138"/>
      <c r="M130" s="138"/>
      <c r="N130" s="116"/>
    </row>
    <row r="131" spans="1:14" s="158" customFormat="1" x14ac:dyDescent="0.25">
      <c r="A131" s="140" t="s">
        <v>208</v>
      </c>
      <c r="B131" s="110"/>
      <c r="C131" s="111"/>
      <c r="D131" s="111"/>
      <c r="E131" s="111"/>
      <c r="F131" s="111"/>
      <c r="G131" s="111"/>
      <c r="H131" s="111"/>
      <c r="I131" s="112">
        <f t="shared" ref="I131:I143" si="20">SUM(B131:H131)</f>
        <v>0</v>
      </c>
      <c r="J131" s="138"/>
      <c r="K131" s="138"/>
      <c r="L131" s="138"/>
      <c r="M131" s="138"/>
      <c r="N131" s="116">
        <f t="shared" ref="N131:N143" si="21">SUM(J131:M131)</f>
        <v>0</v>
      </c>
    </row>
    <row r="132" spans="1:14" s="158" customFormat="1" x14ac:dyDescent="0.25">
      <c r="A132" s="140" t="s">
        <v>209</v>
      </c>
      <c r="B132" s="110"/>
      <c r="C132" s="111"/>
      <c r="D132" s="111"/>
      <c r="E132" s="111"/>
      <c r="F132" s="111"/>
      <c r="G132" s="111"/>
      <c r="H132" s="111"/>
      <c r="I132" s="112">
        <f t="shared" si="20"/>
        <v>0</v>
      </c>
      <c r="J132" s="138"/>
      <c r="K132" s="138"/>
      <c r="L132" s="138"/>
      <c r="M132" s="138"/>
      <c r="N132" s="116">
        <f t="shared" si="21"/>
        <v>0</v>
      </c>
    </row>
    <row r="133" spans="1:14" s="158" customFormat="1" x14ac:dyDescent="0.25">
      <c r="A133" s="139" t="s">
        <v>151</v>
      </c>
      <c r="B133" s="110"/>
      <c r="C133" s="111"/>
      <c r="D133" s="111"/>
      <c r="E133" s="111"/>
      <c r="F133" s="111"/>
      <c r="G133" s="111"/>
      <c r="H133" s="111"/>
      <c r="I133" s="112"/>
      <c r="J133" s="115"/>
      <c r="K133" s="115"/>
      <c r="L133" s="111"/>
      <c r="M133" s="115"/>
      <c r="N133" s="116"/>
    </row>
    <row r="134" spans="1:14" s="158" customFormat="1" x14ac:dyDescent="0.25">
      <c r="A134" s="140" t="s">
        <v>210</v>
      </c>
      <c r="B134" s="110"/>
      <c r="C134" s="111"/>
      <c r="D134" s="111"/>
      <c r="E134" s="111"/>
      <c r="F134" s="111"/>
      <c r="G134" s="111"/>
      <c r="H134" s="111"/>
      <c r="I134" s="112">
        <f>SUM(B134:H134)</f>
        <v>0</v>
      </c>
      <c r="J134" s="138"/>
      <c r="K134" s="138"/>
      <c r="L134" s="138"/>
      <c r="M134" s="138"/>
      <c r="N134" s="116">
        <f>SUM(J134:M134)</f>
        <v>0</v>
      </c>
    </row>
    <row r="135" spans="1:14" s="158" customFormat="1" x14ac:dyDescent="0.25">
      <c r="A135" s="140" t="s">
        <v>211</v>
      </c>
      <c r="B135" s="110"/>
      <c r="C135" s="111"/>
      <c r="D135" s="111"/>
      <c r="E135" s="111"/>
      <c r="F135" s="111"/>
      <c r="G135" s="111"/>
      <c r="H135" s="111"/>
      <c r="I135" s="112">
        <f t="shared" si="20"/>
        <v>0</v>
      </c>
      <c r="J135" s="138"/>
      <c r="K135" s="138"/>
      <c r="L135" s="138"/>
      <c r="M135" s="138"/>
      <c r="N135" s="116">
        <f t="shared" si="21"/>
        <v>0</v>
      </c>
    </row>
    <row r="136" spans="1:14" s="158" customFormat="1" x14ac:dyDescent="0.25">
      <c r="A136" s="140" t="s">
        <v>212</v>
      </c>
      <c r="B136" s="110"/>
      <c r="C136" s="111"/>
      <c r="D136" s="111"/>
      <c r="E136" s="111"/>
      <c r="F136" s="111"/>
      <c r="G136" s="111"/>
      <c r="H136" s="111"/>
      <c r="I136" s="112">
        <f t="shared" si="20"/>
        <v>0</v>
      </c>
      <c r="J136" s="138"/>
      <c r="K136" s="138"/>
      <c r="L136" s="138"/>
      <c r="M136" s="138"/>
      <c r="N136" s="116">
        <f t="shared" si="21"/>
        <v>0</v>
      </c>
    </row>
    <row r="137" spans="1:14" s="158" customFormat="1" x14ac:dyDescent="0.25">
      <c r="A137" s="139" t="s">
        <v>149</v>
      </c>
      <c r="B137" s="110"/>
      <c r="C137" s="111"/>
      <c r="D137" s="111"/>
      <c r="E137" s="111"/>
      <c r="F137" s="111"/>
      <c r="G137" s="111"/>
      <c r="H137" s="111"/>
      <c r="I137" s="112"/>
      <c r="J137" s="138"/>
      <c r="K137" s="138"/>
      <c r="L137" s="138"/>
      <c r="M137" s="138"/>
      <c r="N137" s="116"/>
    </row>
    <row r="138" spans="1:14" s="158" customFormat="1" x14ac:dyDescent="0.25">
      <c r="A138" s="140" t="s">
        <v>213</v>
      </c>
      <c r="B138" s="138"/>
      <c r="C138" s="138"/>
      <c r="D138" s="138"/>
      <c r="E138" s="138"/>
      <c r="F138" s="138"/>
      <c r="G138" s="138"/>
      <c r="H138" s="138"/>
      <c r="I138" s="112">
        <f t="shared" si="20"/>
        <v>0</v>
      </c>
      <c r="J138" s="138"/>
      <c r="K138" s="138"/>
      <c r="L138" s="138"/>
      <c r="M138" s="138"/>
      <c r="N138" s="116">
        <f t="shared" si="21"/>
        <v>0</v>
      </c>
    </row>
    <row r="139" spans="1:14" s="158" customFormat="1" x14ac:dyDescent="0.25">
      <c r="A139" s="140" t="s">
        <v>214</v>
      </c>
      <c r="B139" s="138"/>
      <c r="C139" s="138"/>
      <c r="D139" s="138"/>
      <c r="E139" s="138"/>
      <c r="F139" s="138"/>
      <c r="G139" s="138"/>
      <c r="H139" s="138"/>
      <c r="I139" s="112">
        <f t="shared" si="20"/>
        <v>0</v>
      </c>
      <c r="J139" s="138"/>
      <c r="K139" s="138"/>
      <c r="L139" s="138"/>
      <c r="M139" s="138"/>
      <c r="N139" s="116">
        <f t="shared" si="21"/>
        <v>0</v>
      </c>
    </row>
    <row r="140" spans="1:14" s="158" customFormat="1" x14ac:dyDescent="0.25">
      <c r="A140" s="140" t="s">
        <v>215</v>
      </c>
      <c r="B140" s="138"/>
      <c r="C140" s="138"/>
      <c r="D140" s="138"/>
      <c r="E140" s="138"/>
      <c r="F140" s="138"/>
      <c r="G140" s="138"/>
      <c r="H140" s="138"/>
      <c r="I140" s="112">
        <f t="shared" si="20"/>
        <v>0</v>
      </c>
      <c r="J140" s="115"/>
      <c r="K140" s="115"/>
      <c r="L140" s="111"/>
      <c r="M140" s="115"/>
      <c r="N140" s="116">
        <f t="shared" si="21"/>
        <v>0</v>
      </c>
    </row>
    <row r="141" spans="1:14" x14ac:dyDescent="0.25">
      <c r="A141" s="159" t="s">
        <v>216</v>
      </c>
      <c r="B141" s="138"/>
      <c r="C141" s="138"/>
      <c r="D141" s="138"/>
      <c r="E141" s="138"/>
      <c r="F141" s="138"/>
      <c r="G141" s="138"/>
      <c r="H141" s="138"/>
      <c r="I141" s="112">
        <f t="shared" si="20"/>
        <v>0</v>
      </c>
      <c r="J141" s="134"/>
      <c r="N141" s="116">
        <f t="shared" si="21"/>
        <v>0</v>
      </c>
    </row>
    <row r="142" spans="1:14" ht="31.5" x14ac:dyDescent="0.25">
      <c r="A142" s="140" t="s">
        <v>217</v>
      </c>
      <c r="B142" s="138"/>
      <c r="C142" s="138"/>
      <c r="D142" s="138"/>
      <c r="E142" s="138"/>
      <c r="F142" s="138"/>
      <c r="G142" s="138"/>
      <c r="H142" s="138"/>
      <c r="I142" s="112">
        <f t="shared" si="20"/>
        <v>0</v>
      </c>
      <c r="J142" s="138"/>
      <c r="K142" s="131"/>
      <c r="L142" s="131"/>
      <c r="M142" s="138"/>
      <c r="N142" s="116">
        <f t="shared" si="21"/>
        <v>0</v>
      </c>
    </row>
    <row r="143" spans="1:14" ht="32.25" thickBot="1" x14ac:dyDescent="0.3">
      <c r="A143" s="140" t="s">
        <v>142</v>
      </c>
      <c r="B143" s="138"/>
      <c r="C143" s="138"/>
      <c r="D143" s="138"/>
      <c r="E143" s="138"/>
      <c r="F143" s="138"/>
      <c r="G143" s="138"/>
      <c r="H143" s="138"/>
      <c r="I143" s="112">
        <f t="shared" si="20"/>
        <v>0</v>
      </c>
      <c r="J143" s="138"/>
      <c r="K143" s="131"/>
      <c r="L143" s="131"/>
      <c r="M143" s="138"/>
      <c r="N143" s="116">
        <f t="shared" si="21"/>
        <v>0</v>
      </c>
    </row>
    <row r="144" spans="1:14" s="151" customFormat="1" ht="31.5" customHeight="1" thickTop="1" x14ac:dyDescent="0.25">
      <c r="A144" s="123" t="s">
        <v>48</v>
      </c>
      <c r="B144" s="149">
        <f t="shared" ref="B144:H144" si="22">SUM(B145:B158)</f>
        <v>0</v>
      </c>
      <c r="C144" s="149">
        <f t="shared" si="22"/>
        <v>0</v>
      </c>
      <c r="D144" s="149">
        <f t="shared" si="22"/>
        <v>0</v>
      </c>
      <c r="E144" s="149">
        <f t="shared" si="22"/>
        <v>0</v>
      </c>
      <c r="F144" s="149">
        <f t="shared" si="22"/>
        <v>0</v>
      </c>
      <c r="G144" s="149">
        <f t="shared" si="22"/>
        <v>0</v>
      </c>
      <c r="H144" s="149">
        <f t="shared" si="22"/>
        <v>0</v>
      </c>
      <c r="I144" s="160">
        <f t="shared" si="10"/>
        <v>0</v>
      </c>
      <c r="J144" s="150">
        <f>SUM(J145:J158)</f>
        <v>0</v>
      </c>
      <c r="K144" s="150">
        <f>SUM(K145:K158)</f>
        <v>0</v>
      </c>
      <c r="L144" s="150">
        <f>SUM(L145:L158)</f>
        <v>0</v>
      </c>
      <c r="M144" s="150">
        <f>SUM(M145:M158)</f>
        <v>0</v>
      </c>
      <c r="N144" s="124">
        <f t="shared" si="19"/>
        <v>0</v>
      </c>
    </row>
    <row r="145" spans="1:14" x14ac:dyDescent="0.25">
      <c r="A145" s="139" t="s">
        <v>152</v>
      </c>
      <c r="B145" s="177"/>
      <c r="C145" s="178"/>
      <c r="D145" s="178"/>
      <c r="E145" s="126"/>
      <c r="F145" s="178"/>
      <c r="G145" s="178"/>
      <c r="I145" s="118"/>
      <c r="J145" s="134"/>
      <c r="N145" s="2"/>
    </row>
    <row r="146" spans="1:14" x14ac:dyDescent="0.25">
      <c r="A146" s="146" t="s">
        <v>229</v>
      </c>
      <c r="B146" s="161"/>
      <c r="C146" s="162"/>
      <c r="D146" s="162"/>
      <c r="E146" s="6"/>
      <c r="F146" s="162"/>
      <c r="G146" s="162"/>
      <c r="H146" s="131"/>
      <c r="I146" s="118">
        <f t="shared" ref="I146:I158" si="23">SUM(B146:H146)</f>
        <v>0</v>
      </c>
      <c r="J146" s="138"/>
      <c r="K146" s="131"/>
      <c r="L146" s="131"/>
      <c r="M146" s="131"/>
      <c r="N146" s="2">
        <f t="shared" ref="N146:N158" si="24">SUM(J146:M146)</f>
        <v>0</v>
      </c>
    </row>
    <row r="147" spans="1:14" x14ac:dyDescent="0.25">
      <c r="A147" s="146" t="s">
        <v>230</v>
      </c>
      <c r="B147" s="161"/>
      <c r="C147" s="162"/>
      <c r="D147" s="162"/>
      <c r="E147" s="6"/>
      <c r="F147" s="162"/>
      <c r="G147" s="162"/>
      <c r="H147" s="131"/>
      <c r="I147" s="118">
        <f t="shared" si="23"/>
        <v>0</v>
      </c>
      <c r="J147" s="138"/>
      <c r="K147" s="131"/>
      <c r="L147" s="131"/>
      <c r="M147" s="131"/>
      <c r="N147" s="2">
        <f t="shared" si="24"/>
        <v>0</v>
      </c>
    </row>
    <row r="148" spans="1:14" x14ac:dyDescent="0.25">
      <c r="A148" s="139" t="s">
        <v>153</v>
      </c>
      <c r="B148" s="161"/>
      <c r="C148" s="162"/>
      <c r="D148" s="162"/>
      <c r="E148" s="6"/>
      <c r="F148" s="162"/>
      <c r="G148" s="162"/>
      <c r="H148" s="131"/>
      <c r="I148" s="118"/>
      <c r="J148" s="138"/>
      <c r="K148" s="131"/>
      <c r="L148" s="131"/>
      <c r="M148" s="131"/>
      <c r="N148" s="2"/>
    </row>
    <row r="149" spans="1:14" ht="31.5" x14ac:dyDescent="0.25">
      <c r="A149" s="146" t="s">
        <v>231</v>
      </c>
      <c r="B149" s="161"/>
      <c r="C149" s="162"/>
      <c r="D149" s="162"/>
      <c r="E149" s="6"/>
      <c r="F149" s="162"/>
      <c r="G149" s="162"/>
      <c r="H149" s="131"/>
      <c r="I149" s="118">
        <f t="shared" si="23"/>
        <v>0</v>
      </c>
      <c r="J149" s="138"/>
      <c r="K149" s="131"/>
      <c r="L149" s="131"/>
      <c r="M149" s="131"/>
      <c r="N149" s="2">
        <f t="shared" si="24"/>
        <v>0</v>
      </c>
    </row>
    <row r="150" spans="1:14" x14ac:dyDescent="0.25">
      <c r="A150" s="146" t="s">
        <v>232</v>
      </c>
      <c r="B150" s="161"/>
      <c r="C150" s="162"/>
      <c r="D150" s="162"/>
      <c r="E150" s="6"/>
      <c r="F150" s="162"/>
      <c r="G150" s="162"/>
      <c r="H150" s="131"/>
      <c r="I150" s="118">
        <f t="shared" si="23"/>
        <v>0</v>
      </c>
      <c r="J150" s="138"/>
      <c r="K150" s="131"/>
      <c r="L150" s="131"/>
      <c r="M150" s="131"/>
      <c r="N150" s="2">
        <f t="shared" si="24"/>
        <v>0</v>
      </c>
    </row>
    <row r="151" spans="1:14" x14ac:dyDescent="0.25">
      <c r="A151" s="139" t="s">
        <v>154</v>
      </c>
      <c r="B151" s="161"/>
      <c r="C151" s="162"/>
      <c r="D151" s="162"/>
      <c r="E151" s="6"/>
      <c r="F151" s="162"/>
      <c r="G151" s="162"/>
      <c r="H151" s="131"/>
      <c r="I151" s="118"/>
      <c r="J151" s="138"/>
      <c r="K151" s="131"/>
      <c r="L151" s="131"/>
      <c r="M151" s="131"/>
      <c r="N151" s="2"/>
    </row>
    <row r="152" spans="1:14" x14ac:dyDescent="0.25">
      <c r="A152" s="146" t="s">
        <v>233</v>
      </c>
      <c r="B152" s="161"/>
      <c r="C152" s="162"/>
      <c r="D152" s="162"/>
      <c r="E152" s="6"/>
      <c r="F152" s="162"/>
      <c r="G152" s="162"/>
      <c r="H152" s="131"/>
      <c r="I152" s="118">
        <f t="shared" si="23"/>
        <v>0</v>
      </c>
      <c r="J152" s="138"/>
      <c r="K152" s="131"/>
      <c r="L152" s="131"/>
      <c r="M152" s="131"/>
      <c r="N152" s="2">
        <f t="shared" si="24"/>
        <v>0</v>
      </c>
    </row>
    <row r="153" spans="1:14" x14ac:dyDescent="0.25">
      <c r="A153" s="146" t="s">
        <v>234</v>
      </c>
      <c r="B153" s="161"/>
      <c r="C153" s="162"/>
      <c r="D153" s="162"/>
      <c r="E153" s="6"/>
      <c r="F153" s="162"/>
      <c r="G153" s="162"/>
      <c r="H153" s="131"/>
      <c r="I153" s="118">
        <f t="shared" si="23"/>
        <v>0</v>
      </c>
      <c r="J153" s="138"/>
      <c r="K153" s="131"/>
      <c r="L153" s="131"/>
      <c r="M153" s="131"/>
      <c r="N153" s="2">
        <f t="shared" si="24"/>
        <v>0</v>
      </c>
    </row>
    <row r="154" spans="1:14" x14ac:dyDescent="0.25">
      <c r="A154" s="146" t="s">
        <v>235</v>
      </c>
      <c r="B154" s="161"/>
      <c r="C154" s="162"/>
      <c r="D154" s="162"/>
      <c r="E154" s="6"/>
      <c r="F154" s="162"/>
      <c r="G154" s="162"/>
      <c r="H154" s="131"/>
      <c r="I154" s="118">
        <f t="shared" si="23"/>
        <v>0</v>
      </c>
      <c r="J154" s="138"/>
      <c r="K154" s="131"/>
      <c r="L154" s="131"/>
      <c r="M154" s="131"/>
      <c r="N154" s="2">
        <f t="shared" si="24"/>
        <v>0</v>
      </c>
    </row>
    <row r="155" spans="1:14" x14ac:dyDescent="0.25">
      <c r="A155" s="146" t="s">
        <v>155</v>
      </c>
      <c r="B155" s="161"/>
      <c r="C155" s="162"/>
      <c r="D155" s="162"/>
      <c r="E155" s="6"/>
      <c r="F155" s="162"/>
      <c r="G155" s="162"/>
      <c r="H155" s="131"/>
      <c r="I155" s="118">
        <f t="shared" si="23"/>
        <v>0</v>
      </c>
      <c r="J155" s="138"/>
      <c r="K155" s="131"/>
      <c r="L155" s="131"/>
      <c r="M155" s="131"/>
      <c r="N155" s="2">
        <f t="shared" si="24"/>
        <v>0</v>
      </c>
    </row>
    <row r="156" spans="1:14" x14ac:dyDescent="0.25">
      <c r="A156" s="139" t="s">
        <v>149</v>
      </c>
      <c r="B156" s="161"/>
      <c r="C156" s="162"/>
      <c r="D156" s="162"/>
      <c r="E156" s="6"/>
      <c r="F156" s="162"/>
      <c r="G156" s="162"/>
      <c r="H156" s="131"/>
      <c r="I156" s="118"/>
      <c r="J156" s="138"/>
      <c r="K156" s="131"/>
      <c r="L156" s="131"/>
      <c r="M156" s="131"/>
      <c r="N156" s="2"/>
    </row>
    <row r="157" spans="1:14" x14ac:dyDescent="0.25">
      <c r="A157" s="146" t="s">
        <v>156</v>
      </c>
      <c r="B157" s="161"/>
      <c r="C157" s="162"/>
      <c r="D157" s="162"/>
      <c r="E157" s="6"/>
      <c r="F157" s="162"/>
      <c r="G157" s="162"/>
      <c r="H157" s="131"/>
      <c r="I157" s="118">
        <f t="shared" si="23"/>
        <v>0</v>
      </c>
      <c r="J157" s="138"/>
      <c r="K157" s="131"/>
      <c r="L157" s="131"/>
      <c r="M157" s="131"/>
      <c r="N157" s="2">
        <f t="shared" si="24"/>
        <v>0</v>
      </c>
    </row>
    <row r="158" spans="1:14" ht="16.5" thickBot="1" x14ac:dyDescent="0.3">
      <c r="A158" s="146" t="s">
        <v>201</v>
      </c>
      <c r="B158" s="161"/>
      <c r="C158" s="162"/>
      <c r="D158" s="162"/>
      <c r="E158" s="6"/>
      <c r="F158" s="162"/>
      <c r="G158" s="162"/>
      <c r="H158" s="131"/>
      <c r="I158" s="118">
        <f t="shared" si="23"/>
        <v>0</v>
      </c>
      <c r="J158" s="138"/>
      <c r="K158" s="131"/>
      <c r="L158" s="131"/>
      <c r="M158" s="131"/>
      <c r="N158" s="2">
        <f t="shared" si="24"/>
        <v>0</v>
      </c>
    </row>
    <row r="159" spans="1:14" s="151" customFormat="1" ht="28.35" customHeight="1" thickTop="1" x14ac:dyDescent="0.25">
      <c r="A159" s="123" t="s">
        <v>150</v>
      </c>
      <c r="B159" s="149">
        <f t="shared" ref="B159:H159" si="25">SUM(B160:B165)</f>
        <v>0</v>
      </c>
      <c r="C159" s="149">
        <f t="shared" si="25"/>
        <v>0</v>
      </c>
      <c r="D159" s="149">
        <f t="shared" si="25"/>
        <v>0</v>
      </c>
      <c r="E159" s="149">
        <f t="shared" si="25"/>
        <v>0</v>
      </c>
      <c r="F159" s="149">
        <f t="shared" si="25"/>
        <v>0</v>
      </c>
      <c r="G159" s="149">
        <f t="shared" si="25"/>
        <v>0</v>
      </c>
      <c r="H159" s="149">
        <f t="shared" si="25"/>
        <v>0</v>
      </c>
      <c r="I159" s="160">
        <f t="shared" si="10"/>
        <v>0</v>
      </c>
      <c r="J159" s="149">
        <f>SUM(J160:J165)</f>
        <v>0</v>
      </c>
      <c r="K159" s="149">
        <f>SUM(K160:K165)</f>
        <v>0</v>
      </c>
      <c r="L159" s="149">
        <f>SUM(L160:L165)</f>
        <v>0</v>
      </c>
      <c r="M159" s="149">
        <f>SUM(M160:M165)</f>
        <v>0</v>
      </c>
      <c r="N159" s="124">
        <f t="shared" si="19"/>
        <v>0</v>
      </c>
    </row>
    <row r="160" spans="1:14" s="151" customFormat="1" x14ac:dyDescent="0.25">
      <c r="A160" s="146" t="s">
        <v>204</v>
      </c>
      <c r="B160" s="163"/>
      <c r="C160" s="141"/>
      <c r="D160" s="141"/>
      <c r="E160" s="141"/>
      <c r="F160" s="141"/>
      <c r="G160" s="141"/>
      <c r="H160" s="141"/>
      <c r="I160" s="142">
        <f>SUM(B160:H160)</f>
        <v>0</v>
      </c>
      <c r="J160" s="138"/>
      <c r="K160" s="138"/>
      <c r="L160" s="138"/>
      <c r="M160" s="138"/>
      <c r="N160" s="116">
        <f>SUM(J160:M160)</f>
        <v>0</v>
      </c>
    </row>
    <row r="161" spans="1:14" s="151" customFormat="1" x14ac:dyDescent="0.25">
      <c r="A161" s="146" t="s">
        <v>205</v>
      </c>
      <c r="B161" s="163"/>
      <c r="C161" s="141"/>
      <c r="D161" s="141"/>
      <c r="E161" s="141"/>
      <c r="F161" s="141"/>
      <c r="G161" s="141"/>
      <c r="H161" s="141"/>
      <c r="I161" s="142">
        <f t="shared" ref="I161:I165" si="26">SUM(B161:H161)</f>
        <v>0</v>
      </c>
      <c r="J161" s="138"/>
      <c r="K161" s="138"/>
      <c r="L161" s="138"/>
      <c r="M161" s="138"/>
      <c r="N161" s="116">
        <f t="shared" ref="N161:N165" si="27">SUM(J161:M161)</f>
        <v>0</v>
      </c>
    </row>
    <row r="162" spans="1:14" s="151" customFormat="1" x14ac:dyDescent="0.25">
      <c r="A162" s="146" t="s">
        <v>935</v>
      </c>
      <c r="B162" s="163"/>
      <c r="C162" s="141"/>
      <c r="D162" s="141"/>
      <c r="E162" s="153"/>
      <c r="F162" s="141"/>
      <c r="G162" s="141"/>
      <c r="H162" s="153"/>
      <c r="I162" s="142">
        <f t="shared" si="26"/>
        <v>0</v>
      </c>
      <c r="J162" s="138"/>
      <c r="K162" s="138"/>
      <c r="L162" s="138"/>
      <c r="M162" s="138"/>
      <c r="N162" s="116"/>
    </row>
    <row r="163" spans="1:14" s="151" customFormat="1" x14ac:dyDescent="0.25">
      <c r="A163" s="139" t="s">
        <v>149</v>
      </c>
      <c r="B163" s="163"/>
      <c r="C163" s="141"/>
      <c r="D163" s="141"/>
      <c r="E163" s="6"/>
      <c r="F163" s="6"/>
      <c r="G163" s="6"/>
      <c r="H163" s="6"/>
      <c r="I163" s="142">
        <f t="shared" si="26"/>
        <v>0</v>
      </c>
      <c r="J163" s="164"/>
      <c r="K163" s="141"/>
      <c r="L163" s="141"/>
      <c r="M163" s="141"/>
      <c r="N163" s="116"/>
    </row>
    <row r="164" spans="1:14" s="151" customFormat="1" x14ac:dyDescent="0.25">
      <c r="A164" s="146" t="s">
        <v>206</v>
      </c>
      <c r="B164" s="163"/>
      <c r="C164" s="141"/>
      <c r="D164" s="141"/>
      <c r="E164" s="6"/>
      <c r="F164" s="6"/>
      <c r="G164" s="6"/>
      <c r="H164" s="6"/>
      <c r="I164" s="142">
        <f t="shared" si="26"/>
        <v>0</v>
      </c>
      <c r="J164" s="164"/>
      <c r="K164" s="141"/>
      <c r="L164" s="141"/>
      <c r="M164" s="141"/>
      <c r="N164" s="116">
        <f t="shared" si="27"/>
        <v>0</v>
      </c>
    </row>
    <row r="165" spans="1:14" s="151" customFormat="1" ht="16.5" thickBot="1" x14ac:dyDescent="0.3">
      <c r="A165" s="146" t="s">
        <v>200</v>
      </c>
      <c r="B165" s="163"/>
      <c r="C165" s="141"/>
      <c r="D165" s="141"/>
      <c r="E165" s="6"/>
      <c r="F165" s="6"/>
      <c r="G165" s="6"/>
      <c r="H165" s="6"/>
      <c r="I165" s="142">
        <f t="shared" si="26"/>
        <v>0</v>
      </c>
      <c r="J165" s="164"/>
      <c r="K165" s="141"/>
      <c r="L165" s="141"/>
      <c r="M165" s="141"/>
      <c r="N165" s="165">
        <f t="shared" si="27"/>
        <v>0</v>
      </c>
    </row>
    <row r="166" spans="1:14" s="158" customFormat="1" ht="30" customHeight="1" thickTop="1" x14ac:dyDescent="0.25">
      <c r="A166" s="123" t="s">
        <v>49</v>
      </c>
      <c r="B166" s="149">
        <f t="shared" ref="B166:H166" si="28">SUM(B167:B169)</f>
        <v>0</v>
      </c>
      <c r="C166" s="149">
        <f t="shared" si="28"/>
        <v>0</v>
      </c>
      <c r="D166" s="149">
        <f t="shared" si="28"/>
        <v>0</v>
      </c>
      <c r="E166" s="149">
        <f t="shared" si="28"/>
        <v>0</v>
      </c>
      <c r="F166" s="149">
        <f t="shared" si="28"/>
        <v>0</v>
      </c>
      <c r="G166" s="149">
        <f t="shared" si="28"/>
        <v>0</v>
      </c>
      <c r="H166" s="149">
        <f t="shared" si="28"/>
        <v>0</v>
      </c>
      <c r="I166" s="160">
        <f t="shared" si="10"/>
        <v>0</v>
      </c>
      <c r="J166" s="149">
        <f>SUM(J167:J169)</f>
        <v>0</v>
      </c>
      <c r="K166" s="149">
        <f>SUM(K167:K169)</f>
        <v>0</v>
      </c>
      <c r="L166" s="149">
        <f>SUM(L167:L169)</f>
        <v>0</v>
      </c>
      <c r="M166" s="149">
        <f>SUM(M167:M169)</f>
        <v>0</v>
      </c>
      <c r="N166" s="179">
        <f>SUM(N167:N169)</f>
        <v>0</v>
      </c>
    </row>
    <row r="167" spans="1:14" s="158" customFormat="1" x14ac:dyDescent="0.25">
      <c r="A167" s="139" t="s">
        <v>200</v>
      </c>
      <c r="B167" s="163"/>
      <c r="C167" s="141"/>
      <c r="D167" s="6"/>
      <c r="E167" s="6"/>
      <c r="F167" s="141"/>
      <c r="G167" s="141"/>
      <c r="H167" s="6"/>
      <c r="I167" s="142">
        <f t="shared" ref="I167:I168" si="29">SUM(B167:H167)</f>
        <v>0</v>
      </c>
      <c r="J167" s="164"/>
      <c r="K167" s="141"/>
      <c r="L167" s="141"/>
      <c r="M167" s="141"/>
      <c r="N167" s="116"/>
    </row>
    <row r="168" spans="1:14" s="158" customFormat="1" ht="30" customHeight="1" x14ac:dyDescent="0.25">
      <c r="A168" s="146" t="s">
        <v>207</v>
      </c>
      <c r="B168" s="163"/>
      <c r="C168" s="141"/>
      <c r="D168" s="6"/>
      <c r="E168" s="6"/>
      <c r="F168" s="6"/>
      <c r="G168" s="6"/>
      <c r="H168" s="6"/>
      <c r="I168" s="142">
        <f t="shared" si="29"/>
        <v>0</v>
      </c>
      <c r="J168" s="164"/>
      <c r="K168" s="141"/>
      <c r="L168" s="141"/>
      <c r="M168" s="141"/>
      <c r="N168" s="116"/>
    </row>
    <row r="169" spans="1:14" s="158" customFormat="1" ht="16.5" thickBot="1" x14ac:dyDescent="0.3">
      <c r="A169" s="166"/>
      <c r="B169" s="167"/>
      <c r="C169" s="168"/>
      <c r="D169" s="7"/>
      <c r="E169" s="7"/>
      <c r="F169" s="7"/>
      <c r="G169" s="7"/>
      <c r="H169" s="7"/>
      <c r="I169" s="169"/>
      <c r="J169" s="170"/>
      <c r="K169" s="168"/>
      <c r="L169" s="168"/>
      <c r="M169" s="168"/>
      <c r="N169" s="171"/>
    </row>
    <row r="170" spans="1:14" x14ac:dyDescent="0.25">
      <c r="A170" s="172"/>
      <c r="B170" s="131"/>
      <c r="C170" s="131"/>
      <c r="D170" s="131"/>
      <c r="E170" s="131"/>
      <c r="F170" s="131"/>
      <c r="G170" s="131"/>
      <c r="H170" s="131"/>
      <c r="I170" s="173"/>
      <c r="J170" s="131"/>
      <c r="K170" s="131"/>
      <c r="L170" s="131"/>
      <c r="M170" s="131"/>
      <c r="N170" s="173"/>
    </row>
  </sheetData>
  <mergeCells count="2">
    <mergeCell ref="J1:N1"/>
    <mergeCell ref="B1:I1"/>
  </mergeCells>
  <pageMargins left="0.33" right="0.33" top="0.74803149606299213" bottom="0.74803149606299213" header="0.31496062992125984" footer="0.31496062992125984"/>
  <pageSetup paperSize="8" scale="70" orientation="portrait" r:id="rId1"/>
  <headerFooter>
    <oddHeader>&amp;R4. melléklet a …/… . (… . … .) önkormányzati rendelethez
4. melléklet az 5/2021. (II. 25.)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opLeftCell="A22" workbookViewId="0">
      <selection activeCell="D49" sqref="D49"/>
    </sheetView>
  </sheetViews>
  <sheetFormatPr defaultColWidth="9.140625" defaultRowHeight="12.75" x14ac:dyDescent="0.2"/>
  <cols>
    <col min="1" max="1" width="0.28515625" style="579" customWidth="1"/>
    <col min="2" max="2" width="4.42578125" style="579" customWidth="1"/>
    <col min="3" max="3" width="4.85546875" style="579" customWidth="1"/>
    <col min="4" max="4" width="54" style="579" customWidth="1"/>
    <col min="5" max="5" width="20.85546875" style="579" customWidth="1"/>
    <col min="6" max="6" width="20.85546875" style="579" hidden="1" customWidth="1"/>
    <col min="7" max="7" width="20.85546875" style="579" customWidth="1"/>
    <col min="8" max="8" width="20.85546875" style="579" hidden="1" customWidth="1"/>
    <col min="9" max="9" width="20.85546875" style="579" customWidth="1"/>
    <col min="10" max="10" width="0" style="579" hidden="1" customWidth="1"/>
    <col min="11" max="16384" width="9.140625" style="579"/>
  </cols>
  <sheetData>
    <row r="1" spans="1:10" x14ac:dyDescent="0.2">
      <c r="I1" s="762" t="s">
        <v>1188</v>
      </c>
    </row>
    <row r="2" spans="1:10" ht="15.75" x14ac:dyDescent="0.25">
      <c r="A2" s="853" t="s">
        <v>30</v>
      </c>
      <c r="B2" s="853"/>
      <c r="C2" s="853"/>
      <c r="D2" s="853"/>
      <c r="E2" s="853"/>
      <c r="F2" s="853"/>
      <c r="G2" s="853"/>
      <c r="H2" s="853"/>
      <c r="I2" s="853"/>
    </row>
    <row r="3" spans="1:10" ht="15" customHeight="1" x14ac:dyDescent="0.2">
      <c r="A3" s="848" t="s">
        <v>1178</v>
      </c>
      <c r="B3" s="848"/>
      <c r="C3" s="848"/>
      <c r="D3" s="848"/>
      <c r="E3" s="763" t="s">
        <v>1179</v>
      </c>
      <c r="F3" s="763"/>
      <c r="G3" s="763" t="s">
        <v>1180</v>
      </c>
      <c r="H3" s="763"/>
      <c r="I3" s="763" t="s">
        <v>1181</v>
      </c>
    </row>
    <row r="4" spans="1:10" ht="34.5" customHeight="1" x14ac:dyDescent="0.2">
      <c r="A4" s="848"/>
      <c r="B4" s="848"/>
      <c r="C4" s="848"/>
      <c r="D4" s="848"/>
      <c r="E4" s="764" t="s">
        <v>1183</v>
      </c>
      <c r="F4" s="764" t="s">
        <v>1182</v>
      </c>
      <c r="G4" s="764" t="s">
        <v>1183</v>
      </c>
      <c r="H4" s="764" t="s">
        <v>1183</v>
      </c>
      <c r="I4" s="764" t="s">
        <v>1183</v>
      </c>
      <c r="J4" s="579" t="s">
        <v>1182</v>
      </c>
    </row>
    <row r="5" spans="1:10" ht="15" customHeight="1" x14ac:dyDescent="0.2">
      <c r="A5" s="835" t="s">
        <v>1190</v>
      </c>
      <c r="B5" s="835"/>
      <c r="C5" s="835"/>
      <c r="D5" s="835"/>
      <c r="E5" s="387">
        <f>SUM(E6:E9)</f>
        <v>6185973.8509999998</v>
      </c>
      <c r="F5" s="765"/>
      <c r="G5" s="387">
        <f>SUM(G6:G9)</f>
        <v>735301</v>
      </c>
      <c r="H5" s="765"/>
      <c r="I5" s="767">
        <f>+E5+G5</f>
        <v>6921274.8509999998</v>
      </c>
    </row>
    <row r="6" spans="1:10" x14ac:dyDescent="0.2">
      <c r="A6" s="854"/>
      <c r="B6" s="854"/>
      <c r="C6" s="763" t="s">
        <v>1184</v>
      </c>
      <c r="D6" s="761" t="s">
        <v>93</v>
      </c>
      <c r="E6" s="376">
        <f>+'1. melléklet'!D6-G6</f>
        <v>1438238.8510000003</v>
      </c>
      <c r="F6" s="766"/>
      <c r="G6" s="376">
        <v>700100</v>
      </c>
      <c r="H6" s="766"/>
      <c r="I6" s="768">
        <f>+E6+G6</f>
        <v>2138338.8510000003</v>
      </c>
    </row>
    <row r="7" spans="1:10" x14ac:dyDescent="0.2">
      <c r="A7" s="854"/>
      <c r="B7" s="854"/>
      <c r="C7" s="763" t="s">
        <v>1185</v>
      </c>
      <c r="D7" s="761" t="s">
        <v>0</v>
      </c>
      <c r="E7" s="376">
        <f>+'1. melléklet'!D7</f>
        <v>2637936</v>
      </c>
      <c r="F7" s="766"/>
      <c r="G7" s="766">
        <v>0</v>
      </c>
      <c r="H7" s="766"/>
      <c r="I7" s="768">
        <f t="shared" ref="I7:I9" si="0">+E7+G7</f>
        <v>2637936</v>
      </c>
    </row>
    <row r="8" spans="1:10" x14ac:dyDescent="0.2">
      <c r="A8" s="854"/>
      <c r="B8" s="854"/>
      <c r="C8" s="763" t="s">
        <v>1186</v>
      </c>
      <c r="D8" s="761" t="s">
        <v>14</v>
      </c>
      <c r="E8" s="376">
        <f>+'1. melléklet'!D8-G8</f>
        <v>2109799</v>
      </c>
      <c r="F8" s="766"/>
      <c r="G8" s="376">
        <f>10859+2319+22023</f>
        <v>35201</v>
      </c>
      <c r="H8" s="766"/>
      <c r="I8" s="768">
        <f t="shared" si="0"/>
        <v>2145000</v>
      </c>
    </row>
    <row r="9" spans="1:10" x14ac:dyDescent="0.2">
      <c r="A9" s="854"/>
      <c r="B9" s="854"/>
      <c r="C9" s="763" t="s">
        <v>1187</v>
      </c>
      <c r="D9" s="761" t="s">
        <v>1</v>
      </c>
      <c r="E9" s="376">
        <f>+'1. melléklet'!D9</f>
        <v>0</v>
      </c>
      <c r="F9" s="766"/>
      <c r="G9" s="766">
        <v>0</v>
      </c>
      <c r="H9" s="766"/>
      <c r="I9" s="768">
        <f t="shared" si="0"/>
        <v>0</v>
      </c>
    </row>
    <row r="10" spans="1:10" ht="15" customHeight="1" x14ac:dyDescent="0.2">
      <c r="A10" s="835" t="s">
        <v>1189</v>
      </c>
      <c r="B10" s="835"/>
      <c r="C10" s="835"/>
      <c r="D10" s="835"/>
      <c r="E10" s="767">
        <f>SUM(E11:E13)</f>
        <v>750000</v>
      </c>
      <c r="F10" s="765"/>
      <c r="G10" s="767">
        <f>SUM(G11:G13)</f>
        <v>9000</v>
      </c>
      <c r="H10" s="765"/>
      <c r="I10" s="767">
        <f>+E10+G10</f>
        <v>759000</v>
      </c>
    </row>
    <row r="11" spans="1:10" x14ac:dyDescent="0.2">
      <c r="A11" s="854"/>
      <c r="B11" s="854"/>
      <c r="C11" s="763" t="s">
        <v>1184</v>
      </c>
      <c r="D11" s="761" t="s">
        <v>94</v>
      </c>
      <c r="E11" s="768">
        <f>+'1. melléklet'!D14</f>
        <v>0</v>
      </c>
      <c r="F11" s="766"/>
      <c r="G11" s="766">
        <v>0</v>
      </c>
      <c r="H11" s="766"/>
      <c r="I11" s="768">
        <f t="shared" ref="I11:I13" si="1">+E11+G11</f>
        <v>0</v>
      </c>
    </row>
    <row r="12" spans="1:10" x14ac:dyDescent="0.2">
      <c r="A12" s="854"/>
      <c r="B12" s="854"/>
      <c r="C12" s="763" t="s">
        <v>1185</v>
      </c>
      <c r="D12" s="761" t="s">
        <v>16</v>
      </c>
      <c r="E12" s="768">
        <f>+'1. melléklet'!D15</f>
        <v>750000</v>
      </c>
      <c r="F12" s="766"/>
      <c r="G12" s="766">
        <v>0</v>
      </c>
      <c r="H12" s="766"/>
      <c r="I12" s="768">
        <f t="shared" si="1"/>
        <v>750000</v>
      </c>
    </row>
    <row r="13" spans="1:10" x14ac:dyDescent="0.2">
      <c r="A13" s="854"/>
      <c r="B13" s="854"/>
      <c r="C13" s="763" t="s">
        <v>1186</v>
      </c>
      <c r="D13" s="761" t="s">
        <v>19</v>
      </c>
      <c r="E13" s="768"/>
      <c r="F13" s="766"/>
      <c r="G13" s="768">
        <f>+'1. melléklet'!D16</f>
        <v>9000</v>
      </c>
      <c r="H13" s="766"/>
      <c r="I13" s="768">
        <f t="shared" si="1"/>
        <v>9000</v>
      </c>
    </row>
    <row r="14" spans="1:10" ht="15" customHeight="1" x14ac:dyDescent="0.2">
      <c r="A14" s="835" t="s">
        <v>1191</v>
      </c>
      <c r="B14" s="835"/>
      <c r="C14" s="835"/>
      <c r="D14" s="835"/>
      <c r="E14" s="767">
        <f>+E10+E5</f>
        <v>6935973.8509999998</v>
      </c>
      <c r="F14" s="766"/>
      <c r="G14" s="767">
        <f t="shared" ref="G14:H14" si="2">+G10+G5</f>
        <v>744301</v>
      </c>
      <c r="H14" s="767">
        <f t="shared" si="2"/>
        <v>0</v>
      </c>
      <c r="I14" s="767">
        <f>+E14+G14</f>
        <v>7680274.8509999998</v>
      </c>
    </row>
    <row r="15" spans="1:10" ht="15" customHeight="1" x14ac:dyDescent="0.2">
      <c r="A15" s="835" t="s">
        <v>1192</v>
      </c>
      <c r="B15" s="835"/>
      <c r="C15" s="835"/>
      <c r="D15" s="835"/>
      <c r="E15" s="767">
        <f>+E16+E19+E20</f>
        <v>9176260.0521259848</v>
      </c>
      <c r="F15" s="766"/>
      <c r="G15" s="767">
        <f t="shared" ref="G15:H15" si="3">+G16+G19+G20</f>
        <v>2500000</v>
      </c>
      <c r="H15" s="766">
        <f t="shared" si="3"/>
        <v>0</v>
      </c>
      <c r="I15" s="767">
        <f>+E15+G15</f>
        <v>11676260.052125985</v>
      </c>
    </row>
    <row r="16" spans="1:10" x14ac:dyDescent="0.2">
      <c r="A16" s="854"/>
      <c r="B16" s="854"/>
      <c r="C16" s="763" t="s">
        <v>1184</v>
      </c>
      <c r="D16" s="766" t="s">
        <v>1193</v>
      </c>
      <c r="E16" s="768">
        <f>+E17+E18</f>
        <v>4709560</v>
      </c>
      <c r="F16" s="766"/>
      <c r="G16" s="768">
        <f t="shared" ref="G16:H16" si="4">+G17+G18</f>
        <v>2500000</v>
      </c>
      <c r="H16" s="766">
        <f t="shared" si="4"/>
        <v>0</v>
      </c>
      <c r="I16" s="768">
        <f t="shared" ref="I16:I22" si="5">+E16+G16</f>
        <v>7209560</v>
      </c>
    </row>
    <row r="17" spans="1:9" x14ac:dyDescent="0.2">
      <c r="A17" s="854"/>
      <c r="B17" s="854"/>
      <c r="C17" s="766"/>
      <c r="D17" s="766" t="s">
        <v>1194</v>
      </c>
      <c r="E17" s="768">
        <f>+'1. melléklet'!D21</f>
        <v>4709560</v>
      </c>
      <c r="F17" s="766"/>
      <c r="G17" s="766">
        <v>0</v>
      </c>
      <c r="H17" s="766"/>
      <c r="I17" s="768">
        <f t="shared" si="5"/>
        <v>4709560</v>
      </c>
    </row>
    <row r="18" spans="1:9" x14ac:dyDescent="0.2">
      <c r="A18" s="854"/>
      <c r="B18" s="854"/>
      <c r="C18" s="766"/>
      <c r="D18" s="766" t="s">
        <v>1195</v>
      </c>
      <c r="E18" s="766">
        <v>0</v>
      </c>
      <c r="F18" s="766"/>
      <c r="G18" s="768">
        <f>+'1. melléklet'!D22</f>
        <v>2500000</v>
      </c>
      <c r="H18" s="766"/>
      <c r="I18" s="768">
        <f t="shared" si="5"/>
        <v>2500000</v>
      </c>
    </row>
    <row r="19" spans="1:9" x14ac:dyDescent="0.2">
      <c r="A19" s="854"/>
      <c r="B19" s="854"/>
      <c r="C19" s="763" t="s">
        <v>1185</v>
      </c>
      <c r="D19" s="766" t="s">
        <v>1196</v>
      </c>
      <c r="E19" s="766">
        <v>0</v>
      </c>
      <c r="F19" s="766"/>
      <c r="G19" s="766">
        <v>0</v>
      </c>
      <c r="H19" s="766"/>
      <c r="I19" s="768">
        <f t="shared" si="5"/>
        <v>0</v>
      </c>
    </row>
    <row r="20" spans="1:9" x14ac:dyDescent="0.2">
      <c r="A20" s="854"/>
      <c r="B20" s="854"/>
      <c r="C20" s="763" t="s">
        <v>1186</v>
      </c>
      <c r="D20" s="766" t="s">
        <v>1197</v>
      </c>
      <c r="E20" s="768">
        <f>+'1. melléklet'!D19</f>
        <v>4466700.0521259848</v>
      </c>
      <c r="F20" s="766"/>
      <c r="G20" s="766">
        <v>0</v>
      </c>
      <c r="H20" s="766"/>
      <c r="I20" s="768">
        <f t="shared" si="5"/>
        <v>4466700.0521259848</v>
      </c>
    </row>
    <row r="21" spans="1:9" ht="15" customHeight="1" x14ac:dyDescent="0.2">
      <c r="A21" s="835" t="s">
        <v>32</v>
      </c>
      <c r="B21" s="835"/>
      <c r="C21" s="835"/>
      <c r="D21" s="835"/>
      <c r="E21" s="767">
        <f>+E14+E15</f>
        <v>16112233.903125985</v>
      </c>
      <c r="F21" s="765"/>
      <c r="G21" s="767">
        <f t="shared" ref="G21:H21" si="6">+G14+G15</f>
        <v>3244301</v>
      </c>
      <c r="H21" s="767">
        <f t="shared" si="6"/>
        <v>0</v>
      </c>
      <c r="I21" s="767">
        <f t="shared" si="5"/>
        <v>19356534.903125986</v>
      </c>
    </row>
    <row r="22" spans="1:9" ht="15" customHeight="1" x14ac:dyDescent="0.2">
      <c r="A22" s="835" t="s">
        <v>1200</v>
      </c>
      <c r="B22" s="835"/>
      <c r="C22" s="835"/>
      <c r="D22" s="835"/>
      <c r="E22" s="767">
        <f>+E21-E20</f>
        <v>11645533.851</v>
      </c>
      <c r="F22" s="765"/>
      <c r="G22" s="767">
        <f t="shared" ref="G22:H22" si="7">+G21-G20</f>
        <v>3244301</v>
      </c>
      <c r="H22" s="767">
        <f t="shared" si="7"/>
        <v>0</v>
      </c>
      <c r="I22" s="767">
        <f t="shared" si="5"/>
        <v>14889834.851</v>
      </c>
    </row>
    <row r="24" spans="1:9" ht="15.75" x14ac:dyDescent="0.25">
      <c r="A24" s="855" t="s">
        <v>33</v>
      </c>
      <c r="B24" s="855"/>
      <c r="C24" s="855"/>
      <c r="D24" s="855"/>
      <c r="E24" s="855"/>
      <c r="F24" s="855"/>
      <c r="G24" s="855"/>
      <c r="H24" s="855"/>
      <c r="I24" s="856"/>
    </row>
    <row r="25" spans="1:9" ht="15" customHeight="1" x14ac:dyDescent="0.2">
      <c r="A25" s="848" t="s">
        <v>1178</v>
      </c>
      <c r="B25" s="848"/>
      <c r="C25" s="848"/>
      <c r="D25" s="848"/>
      <c r="E25" s="763" t="s">
        <v>1179</v>
      </c>
      <c r="F25" s="763"/>
      <c r="G25" s="763" t="s">
        <v>1180</v>
      </c>
      <c r="H25" s="763"/>
      <c r="I25" s="763" t="s">
        <v>1181</v>
      </c>
    </row>
    <row r="26" spans="1:9" ht="25.5" x14ac:dyDescent="0.2">
      <c r="A26" s="848"/>
      <c r="B26" s="848"/>
      <c r="C26" s="848"/>
      <c r="D26" s="848"/>
      <c r="E26" s="764" t="s">
        <v>1183</v>
      </c>
      <c r="F26" s="764" t="s">
        <v>1182</v>
      </c>
      <c r="G26" s="764" t="s">
        <v>1183</v>
      </c>
      <c r="H26" s="764" t="s">
        <v>1183</v>
      </c>
      <c r="I26" s="764" t="s">
        <v>1183</v>
      </c>
    </row>
    <row r="27" spans="1:9" ht="15" customHeight="1" x14ac:dyDescent="0.2">
      <c r="A27" s="835" t="s">
        <v>1198</v>
      </c>
      <c r="B27" s="835"/>
      <c r="C27" s="835"/>
      <c r="D27" s="835"/>
      <c r="E27" s="387"/>
      <c r="F27" s="765"/>
      <c r="G27" s="387">
        <f>SUM(G29:G36)</f>
        <v>0</v>
      </c>
      <c r="H27" s="765"/>
      <c r="I27" s="767">
        <f>+E27+G27</f>
        <v>0</v>
      </c>
    </row>
    <row r="28" spans="1:9" ht="15" customHeight="1" x14ac:dyDescent="0.2">
      <c r="A28" s="835" t="s">
        <v>1199</v>
      </c>
      <c r="B28" s="835"/>
      <c r="C28" s="835"/>
      <c r="D28" s="835"/>
      <c r="E28" s="387"/>
      <c r="F28" s="765"/>
      <c r="G28" s="387"/>
      <c r="H28" s="765"/>
      <c r="I28" s="767"/>
    </row>
    <row r="29" spans="1:9" x14ac:dyDescent="0.2">
      <c r="A29" s="774"/>
      <c r="B29" s="770" t="s">
        <v>1202</v>
      </c>
      <c r="C29" s="846" t="s">
        <v>1201</v>
      </c>
      <c r="D29" s="847"/>
      <c r="E29" s="376"/>
      <c r="F29" s="766"/>
      <c r="G29" s="766"/>
      <c r="H29" s="766"/>
      <c r="I29" s="768">
        <f>+E29+G29</f>
        <v>0</v>
      </c>
    </row>
    <row r="30" spans="1:9" x14ac:dyDescent="0.2">
      <c r="A30" s="842"/>
      <c r="B30" s="843"/>
      <c r="C30" s="763">
        <v>1</v>
      </c>
      <c r="D30" s="761"/>
      <c r="E30" s="376"/>
      <c r="F30" s="766"/>
      <c r="G30" s="766"/>
      <c r="H30" s="766"/>
      <c r="I30" s="768">
        <f t="shared" ref="I30:I36" si="8">+E30+G30</f>
        <v>0</v>
      </c>
    </row>
    <row r="31" spans="1:9" x14ac:dyDescent="0.2">
      <c r="A31" s="842"/>
      <c r="B31" s="843"/>
      <c r="C31" s="763">
        <v>2</v>
      </c>
      <c r="D31" s="761"/>
      <c r="E31" s="376"/>
      <c r="F31" s="766"/>
      <c r="G31" s="766"/>
      <c r="H31" s="766"/>
      <c r="I31" s="768">
        <f t="shared" si="8"/>
        <v>0</v>
      </c>
    </row>
    <row r="32" spans="1:9" x14ac:dyDescent="0.2">
      <c r="A32" s="842"/>
      <c r="B32" s="843"/>
      <c r="C32" s="763">
        <v>3</v>
      </c>
      <c r="D32" s="761"/>
      <c r="E32" s="376"/>
      <c r="F32" s="766"/>
      <c r="G32" s="766"/>
      <c r="H32" s="766"/>
      <c r="I32" s="768"/>
    </row>
    <row r="33" spans="1:9" x14ac:dyDescent="0.2">
      <c r="A33" s="842"/>
      <c r="B33" s="843"/>
      <c r="C33" s="763">
        <v>4</v>
      </c>
      <c r="D33" s="761"/>
      <c r="E33" s="376"/>
      <c r="F33" s="766"/>
      <c r="G33" s="766"/>
      <c r="H33" s="766"/>
      <c r="I33" s="768"/>
    </row>
    <row r="34" spans="1:9" x14ac:dyDescent="0.2">
      <c r="A34" s="842"/>
      <c r="B34" s="843"/>
      <c r="C34" s="763">
        <v>5</v>
      </c>
      <c r="D34" s="761"/>
      <c r="E34" s="376"/>
      <c r="F34" s="766"/>
      <c r="G34" s="766"/>
      <c r="H34" s="766"/>
      <c r="I34" s="768"/>
    </row>
    <row r="35" spans="1:9" x14ac:dyDescent="0.2">
      <c r="A35" s="842"/>
      <c r="B35" s="843"/>
      <c r="C35" s="763">
        <v>6</v>
      </c>
      <c r="D35" s="761"/>
      <c r="E35" s="376"/>
      <c r="F35" s="766"/>
      <c r="G35" s="766"/>
      <c r="H35" s="766"/>
      <c r="I35" s="768"/>
    </row>
    <row r="36" spans="1:9" x14ac:dyDescent="0.2">
      <c r="A36" s="842"/>
      <c r="B36" s="843"/>
      <c r="C36" s="763">
        <v>7</v>
      </c>
      <c r="D36" s="761"/>
      <c r="E36" s="376"/>
      <c r="F36" s="766"/>
      <c r="G36" s="766"/>
      <c r="H36" s="766"/>
      <c r="I36" s="768">
        <f t="shared" si="8"/>
        <v>0</v>
      </c>
    </row>
    <row r="37" spans="1:9" x14ac:dyDescent="0.2">
      <c r="A37" s="774"/>
      <c r="B37" s="763" t="s">
        <v>1187</v>
      </c>
      <c r="C37" s="835" t="s">
        <v>8</v>
      </c>
      <c r="D37" s="835"/>
      <c r="E37" s="767"/>
      <c r="F37" s="765"/>
      <c r="G37" s="767"/>
      <c r="H37" s="765"/>
      <c r="I37" s="767">
        <f>+E37+G37</f>
        <v>0</v>
      </c>
    </row>
    <row r="38" spans="1:9" x14ac:dyDescent="0.2">
      <c r="A38" s="774"/>
      <c r="B38" s="763" t="s">
        <v>1203</v>
      </c>
      <c r="C38" s="835" t="s">
        <v>4</v>
      </c>
      <c r="D38" s="835"/>
      <c r="E38" s="768"/>
      <c r="F38" s="766"/>
      <c r="G38" s="766"/>
      <c r="H38" s="766"/>
      <c r="I38" s="768">
        <f t="shared" ref="I38:I43" si="9">+E38+G38</f>
        <v>0</v>
      </c>
    </row>
    <row r="39" spans="1:9" x14ac:dyDescent="0.2">
      <c r="A39" s="842"/>
      <c r="B39" s="843"/>
      <c r="C39" s="763">
        <v>1</v>
      </c>
      <c r="D39" s="761"/>
      <c r="E39" s="768"/>
      <c r="F39" s="766"/>
      <c r="G39" s="766"/>
      <c r="H39" s="766"/>
      <c r="I39" s="768">
        <f t="shared" si="9"/>
        <v>0</v>
      </c>
    </row>
    <row r="40" spans="1:9" x14ac:dyDescent="0.2">
      <c r="A40" s="842"/>
      <c r="B40" s="843"/>
      <c r="C40" s="763">
        <v>2</v>
      </c>
      <c r="D40" s="761"/>
      <c r="E40" s="768"/>
      <c r="F40" s="766"/>
      <c r="G40" s="766"/>
      <c r="H40" s="766"/>
      <c r="I40" s="768"/>
    </row>
    <row r="41" spans="1:9" x14ac:dyDescent="0.2">
      <c r="A41" s="842"/>
      <c r="B41" s="843"/>
      <c r="C41" s="763">
        <v>3</v>
      </c>
      <c r="D41" s="761"/>
      <c r="E41" s="768"/>
      <c r="F41" s="766"/>
      <c r="G41" s="766"/>
      <c r="H41" s="766"/>
      <c r="I41" s="768"/>
    </row>
    <row r="42" spans="1:9" x14ac:dyDescent="0.2">
      <c r="A42" s="842"/>
      <c r="B42" s="843"/>
      <c r="C42" s="763">
        <v>4</v>
      </c>
      <c r="D42" s="761"/>
      <c r="E42" s="768"/>
      <c r="F42" s="766"/>
      <c r="G42" s="766"/>
      <c r="H42" s="766"/>
      <c r="I42" s="768"/>
    </row>
    <row r="43" spans="1:9" x14ac:dyDescent="0.2">
      <c r="A43" s="842"/>
      <c r="B43" s="843"/>
      <c r="C43" s="763">
        <v>5</v>
      </c>
      <c r="D43" s="761"/>
      <c r="E43" s="768"/>
      <c r="F43" s="766"/>
      <c r="G43" s="768"/>
      <c r="H43" s="766"/>
      <c r="I43" s="768">
        <f t="shared" si="9"/>
        <v>0</v>
      </c>
    </row>
    <row r="44" spans="1:9" x14ac:dyDescent="0.2">
      <c r="A44" s="849"/>
      <c r="B44" s="850"/>
      <c r="C44" s="763"/>
      <c r="D44" s="761"/>
      <c r="E44" s="768"/>
      <c r="F44" s="766"/>
      <c r="G44" s="768"/>
      <c r="H44" s="766"/>
      <c r="I44" s="768"/>
    </row>
    <row r="45" spans="1:9" x14ac:dyDescent="0.2">
      <c r="A45" s="835" t="s">
        <v>1204</v>
      </c>
      <c r="B45" s="835"/>
      <c r="C45" s="835"/>
      <c r="D45" s="835"/>
      <c r="E45" s="768"/>
      <c r="F45" s="766"/>
      <c r="G45" s="768"/>
      <c r="H45" s="766"/>
      <c r="I45" s="768"/>
    </row>
    <row r="46" spans="1:9" x14ac:dyDescent="0.2">
      <c r="A46" s="851"/>
      <c r="B46" s="852"/>
      <c r="C46" s="763">
        <v>1</v>
      </c>
      <c r="D46" s="769" t="s">
        <v>1205</v>
      </c>
      <c r="E46" s="768"/>
      <c r="F46" s="766"/>
      <c r="G46" s="768"/>
      <c r="H46" s="766"/>
      <c r="I46" s="768">
        <f t="shared" ref="I46:I53" si="10">+E46+G46</f>
        <v>0</v>
      </c>
    </row>
    <row r="47" spans="1:9" x14ac:dyDescent="0.2">
      <c r="A47" s="831"/>
      <c r="B47" s="832"/>
      <c r="C47" s="763">
        <v>2</v>
      </c>
      <c r="D47" s="769" t="s">
        <v>1206</v>
      </c>
      <c r="E47" s="768">
        <f>58956+124356+9200+14200+10682+5621+4599+10205+834</f>
        <v>238653</v>
      </c>
      <c r="F47" s="766"/>
      <c r="G47" s="768">
        <v>968548</v>
      </c>
      <c r="H47" s="766"/>
      <c r="I47" s="768">
        <f t="shared" si="10"/>
        <v>1207201</v>
      </c>
    </row>
    <row r="48" spans="1:9" x14ac:dyDescent="0.2">
      <c r="A48" s="831"/>
      <c r="B48" s="832"/>
      <c r="C48" s="763">
        <v>3</v>
      </c>
      <c r="D48" s="769" t="s">
        <v>1207</v>
      </c>
      <c r="E48" s="768">
        <f>3969634-G48</f>
        <v>3595203</v>
      </c>
      <c r="F48" s="766"/>
      <c r="G48" s="768">
        <v>374431</v>
      </c>
      <c r="H48" s="766"/>
      <c r="I48" s="768">
        <f t="shared" si="10"/>
        <v>3969634</v>
      </c>
    </row>
    <row r="49" spans="1:9" x14ac:dyDescent="0.2">
      <c r="A49" s="831"/>
      <c r="B49" s="832"/>
      <c r="C49" s="763"/>
      <c r="D49" s="769"/>
      <c r="E49" s="768"/>
      <c r="F49" s="766"/>
      <c r="G49" s="768"/>
      <c r="H49" s="766"/>
      <c r="I49" s="768"/>
    </row>
    <row r="50" spans="1:9" x14ac:dyDescent="0.2">
      <c r="A50" s="831"/>
      <c r="B50" s="832"/>
      <c r="C50" s="763"/>
      <c r="D50" s="769"/>
      <c r="E50" s="768"/>
      <c r="F50" s="766"/>
      <c r="G50" s="768"/>
      <c r="H50" s="766"/>
      <c r="I50" s="768"/>
    </row>
    <row r="51" spans="1:9" x14ac:dyDescent="0.2">
      <c r="A51" s="831"/>
      <c r="B51" s="832"/>
      <c r="C51" s="763">
        <v>4</v>
      </c>
      <c r="D51" s="769" t="s">
        <v>1208</v>
      </c>
      <c r="E51" s="768">
        <v>966049</v>
      </c>
      <c r="F51" s="766"/>
      <c r="G51" s="768">
        <v>0</v>
      </c>
      <c r="H51" s="766"/>
      <c r="I51" s="768">
        <f t="shared" si="10"/>
        <v>966049</v>
      </c>
    </row>
    <row r="52" spans="1:9" x14ac:dyDescent="0.2">
      <c r="A52" s="831"/>
      <c r="B52" s="832"/>
      <c r="C52" s="763">
        <v>5</v>
      </c>
      <c r="D52" s="769" t="s">
        <v>1209</v>
      </c>
      <c r="E52" s="768">
        <f>508093-2319</f>
        <v>505774</v>
      </c>
      <c r="F52" s="766"/>
      <c r="G52" s="768">
        <v>2319</v>
      </c>
      <c r="H52" s="766"/>
      <c r="I52" s="768">
        <f t="shared" si="10"/>
        <v>508093</v>
      </c>
    </row>
    <row r="53" spans="1:9" x14ac:dyDescent="0.2">
      <c r="A53" s="831"/>
      <c r="B53" s="832"/>
      <c r="C53" s="763">
        <v>6</v>
      </c>
      <c r="D53" s="769" t="s">
        <v>1210</v>
      </c>
      <c r="E53" s="768">
        <v>526328</v>
      </c>
      <c r="F53" s="766"/>
      <c r="G53" s="768">
        <v>0</v>
      </c>
      <c r="H53" s="766"/>
      <c r="I53" s="768">
        <f t="shared" si="10"/>
        <v>526328</v>
      </c>
    </row>
    <row r="54" spans="1:9" x14ac:dyDescent="0.2">
      <c r="A54" s="831"/>
      <c r="B54" s="832"/>
      <c r="C54" s="763">
        <v>7</v>
      </c>
      <c r="D54" s="769" t="s">
        <v>1211</v>
      </c>
      <c r="E54" s="768">
        <v>98132</v>
      </c>
      <c r="F54" s="766"/>
      <c r="G54" s="768">
        <v>0</v>
      </c>
      <c r="H54" s="766"/>
      <c r="I54" s="768">
        <f t="shared" ref="I54" si="11">+E54+G54</f>
        <v>98132</v>
      </c>
    </row>
    <row r="55" spans="1:9" x14ac:dyDescent="0.2">
      <c r="A55" s="835" t="s">
        <v>1212</v>
      </c>
      <c r="B55" s="835"/>
      <c r="C55" s="835"/>
      <c r="D55" s="835"/>
      <c r="E55" s="768"/>
      <c r="F55" s="766"/>
      <c r="G55" s="768"/>
      <c r="H55" s="766"/>
      <c r="I55" s="768"/>
    </row>
    <row r="56" spans="1:9" x14ac:dyDescent="0.2">
      <c r="A56" s="835" t="s">
        <v>1213</v>
      </c>
      <c r="B56" s="835"/>
      <c r="C56" s="835"/>
      <c r="D56" s="835"/>
      <c r="E56" s="768"/>
      <c r="F56" s="766"/>
      <c r="G56" s="768"/>
      <c r="H56" s="766"/>
      <c r="I56" s="768"/>
    </row>
    <row r="57" spans="1:9" x14ac:dyDescent="0.2">
      <c r="A57" s="829"/>
      <c r="B57" s="763" t="s">
        <v>1184</v>
      </c>
      <c r="C57" s="846" t="s">
        <v>5</v>
      </c>
      <c r="D57" s="847"/>
      <c r="E57" s="768"/>
      <c r="F57" s="766"/>
      <c r="G57" s="768"/>
      <c r="H57" s="766"/>
      <c r="I57" s="768"/>
    </row>
    <row r="58" spans="1:9" x14ac:dyDescent="0.2">
      <c r="A58" s="830"/>
      <c r="B58" s="763" t="s">
        <v>1185</v>
      </c>
      <c r="C58" s="846" t="s">
        <v>6</v>
      </c>
      <c r="D58" s="847"/>
      <c r="E58" s="768"/>
      <c r="F58" s="766"/>
      <c r="G58" s="768"/>
      <c r="H58" s="766"/>
      <c r="I58" s="768"/>
    </row>
    <row r="59" spans="1:9" x14ac:dyDescent="0.2">
      <c r="A59" s="830"/>
      <c r="B59" s="763" t="s">
        <v>1186</v>
      </c>
      <c r="C59" s="846" t="s">
        <v>1214</v>
      </c>
      <c r="D59" s="847"/>
      <c r="E59" s="768"/>
      <c r="F59" s="766"/>
      <c r="G59" s="768"/>
      <c r="H59" s="766"/>
      <c r="I59" s="768"/>
    </row>
    <row r="60" spans="1:9" x14ac:dyDescent="0.2">
      <c r="A60" s="831"/>
      <c r="B60" s="832"/>
      <c r="C60" s="763">
        <v>1</v>
      </c>
      <c r="D60" s="771" t="s">
        <v>1215</v>
      </c>
      <c r="E60" s="768"/>
      <c r="F60" s="766"/>
      <c r="G60" s="768"/>
      <c r="H60" s="766"/>
      <c r="I60" s="768"/>
    </row>
    <row r="61" spans="1:9" x14ac:dyDescent="0.2">
      <c r="A61" s="831"/>
      <c r="B61" s="832"/>
      <c r="C61" s="763">
        <v>2</v>
      </c>
      <c r="D61" s="771" t="s">
        <v>1216</v>
      </c>
      <c r="E61" s="768"/>
      <c r="F61" s="766"/>
      <c r="G61" s="768"/>
      <c r="H61" s="766"/>
      <c r="I61" s="768"/>
    </row>
    <row r="62" spans="1:9" x14ac:dyDescent="0.2">
      <c r="A62" s="831"/>
      <c r="B62" s="832"/>
      <c r="C62" s="763">
        <v>3</v>
      </c>
      <c r="D62" s="769"/>
      <c r="E62" s="768"/>
      <c r="F62" s="766"/>
      <c r="G62" s="768"/>
      <c r="H62" s="766"/>
      <c r="I62" s="768"/>
    </row>
    <row r="63" spans="1:9" x14ac:dyDescent="0.2">
      <c r="A63" s="833"/>
      <c r="B63" s="834"/>
      <c r="C63" s="763">
        <v>4</v>
      </c>
      <c r="D63" s="761"/>
      <c r="E63" s="768"/>
      <c r="F63" s="766"/>
      <c r="G63" s="768"/>
      <c r="H63" s="766"/>
      <c r="I63" s="768"/>
    </row>
    <row r="64" spans="1:9" x14ac:dyDescent="0.2">
      <c r="A64" s="835" t="s">
        <v>1217</v>
      </c>
      <c r="B64" s="835"/>
      <c r="C64" s="835"/>
      <c r="D64" s="835"/>
      <c r="E64" s="768"/>
      <c r="F64" s="766"/>
      <c r="G64" s="768"/>
      <c r="H64" s="766"/>
      <c r="I64" s="768"/>
    </row>
    <row r="65" spans="1:9" x14ac:dyDescent="0.2">
      <c r="A65" s="840"/>
      <c r="B65" s="841"/>
      <c r="C65" s="763">
        <v>1</v>
      </c>
      <c r="D65" s="769" t="s">
        <v>1205</v>
      </c>
      <c r="E65" s="768"/>
      <c r="F65" s="766"/>
      <c r="G65" s="768"/>
      <c r="H65" s="766"/>
      <c r="I65" s="768"/>
    </row>
    <row r="66" spans="1:9" x14ac:dyDescent="0.2">
      <c r="A66" s="842"/>
      <c r="B66" s="843"/>
      <c r="C66" s="763">
        <v>2</v>
      </c>
      <c r="D66" s="769" t="s">
        <v>1206</v>
      </c>
      <c r="E66" s="768">
        <v>0</v>
      </c>
      <c r="F66" s="766"/>
      <c r="G66" s="768">
        <v>1270</v>
      </c>
      <c r="H66" s="766"/>
      <c r="I66" s="768">
        <f t="shared" ref="I66" si="12">+E66+G66</f>
        <v>1270</v>
      </c>
    </row>
    <row r="67" spans="1:9" x14ac:dyDescent="0.2">
      <c r="A67" s="842"/>
      <c r="B67" s="843"/>
      <c r="C67" s="763">
        <v>3</v>
      </c>
      <c r="D67" s="769" t="s">
        <v>1207</v>
      </c>
      <c r="E67" s="768"/>
      <c r="F67" s="766"/>
      <c r="G67" s="768"/>
      <c r="H67" s="766"/>
      <c r="I67" s="768"/>
    </row>
    <row r="68" spans="1:9" x14ac:dyDescent="0.2">
      <c r="A68" s="842"/>
      <c r="B68" s="843"/>
      <c r="C68" s="763">
        <v>4</v>
      </c>
      <c r="D68" s="769" t="s">
        <v>1208</v>
      </c>
      <c r="E68" s="768"/>
      <c r="F68" s="766"/>
      <c r="G68" s="768"/>
      <c r="H68" s="766"/>
      <c r="I68" s="768"/>
    </row>
    <row r="69" spans="1:9" x14ac:dyDescent="0.2">
      <c r="A69" s="842"/>
      <c r="B69" s="843"/>
      <c r="C69" s="763">
        <v>5</v>
      </c>
      <c r="D69" s="769" t="s">
        <v>1209</v>
      </c>
      <c r="E69" s="768"/>
      <c r="F69" s="766"/>
      <c r="G69" s="768"/>
      <c r="H69" s="766"/>
      <c r="I69" s="768"/>
    </row>
    <row r="70" spans="1:9" x14ac:dyDescent="0.2">
      <c r="A70" s="842"/>
      <c r="B70" s="843"/>
      <c r="C70" s="763">
        <v>6</v>
      </c>
      <c r="D70" s="769" t="s">
        <v>1210</v>
      </c>
      <c r="E70" s="768"/>
      <c r="F70" s="766"/>
      <c r="G70" s="768"/>
      <c r="H70" s="766"/>
      <c r="I70" s="768"/>
    </row>
    <row r="71" spans="1:9" x14ac:dyDescent="0.2">
      <c r="A71" s="842"/>
      <c r="B71" s="843"/>
      <c r="C71" s="772">
        <v>7</v>
      </c>
      <c r="D71" s="773" t="s">
        <v>1211</v>
      </c>
      <c r="E71" s="768"/>
      <c r="F71" s="766"/>
      <c r="G71" s="768"/>
      <c r="H71" s="766"/>
      <c r="I71" s="768"/>
    </row>
    <row r="72" spans="1:9" ht="15" customHeight="1" x14ac:dyDescent="0.2">
      <c r="A72" s="835" t="s">
        <v>1218</v>
      </c>
      <c r="B72" s="835"/>
      <c r="C72" s="835"/>
      <c r="D72" s="835"/>
      <c r="E72" s="767">
        <f>+E37+E27</f>
        <v>0</v>
      </c>
      <c r="F72" s="766"/>
      <c r="G72" s="767">
        <f t="shared" ref="G72:H72" si="13">+G37+G27</f>
        <v>0</v>
      </c>
      <c r="H72" s="767">
        <f t="shared" si="13"/>
        <v>0</v>
      </c>
      <c r="I72" s="767">
        <f>+E72+G72</f>
        <v>0</v>
      </c>
    </row>
    <row r="73" spans="1:9" ht="15" customHeight="1" x14ac:dyDescent="0.2">
      <c r="A73" s="835" t="s">
        <v>1219</v>
      </c>
      <c r="B73" s="835"/>
      <c r="C73" s="835"/>
      <c r="D73" s="835"/>
      <c r="E73" s="767"/>
      <c r="F73" s="766"/>
      <c r="G73" s="767"/>
      <c r="H73" s="766" t="e">
        <f>+H74+#REF!+#REF!</f>
        <v>#REF!</v>
      </c>
      <c r="I73" s="767">
        <f>+E73+G73</f>
        <v>0</v>
      </c>
    </row>
    <row r="74" spans="1:9" x14ac:dyDescent="0.2">
      <c r="A74" s="844"/>
      <c r="B74" s="770" t="s">
        <v>1184</v>
      </c>
      <c r="C74" s="836" t="s">
        <v>1197</v>
      </c>
      <c r="D74" s="837"/>
      <c r="E74" s="768"/>
      <c r="F74" s="766"/>
      <c r="G74" s="768"/>
      <c r="H74" s="766" t="e">
        <f>+H75+#REF!</f>
        <v>#REF!</v>
      </c>
      <c r="I74" s="768">
        <f t="shared" ref="I74:I77" si="14">+E74+G74</f>
        <v>0</v>
      </c>
    </row>
    <row r="75" spans="1:9" x14ac:dyDescent="0.2">
      <c r="A75" s="845"/>
      <c r="B75" s="772" t="s">
        <v>1185</v>
      </c>
      <c r="C75" s="838" t="s">
        <v>1065</v>
      </c>
      <c r="D75" s="839"/>
      <c r="E75" s="768"/>
      <c r="F75" s="766"/>
      <c r="G75" s="766"/>
      <c r="H75" s="766"/>
      <c r="I75" s="768">
        <f t="shared" si="14"/>
        <v>0</v>
      </c>
    </row>
    <row r="76" spans="1:9" ht="15" customHeight="1" x14ac:dyDescent="0.2">
      <c r="A76" s="835" t="s">
        <v>37</v>
      </c>
      <c r="B76" s="835"/>
      <c r="C76" s="835"/>
      <c r="D76" s="835"/>
      <c r="E76" s="767">
        <f>+E72+E73</f>
        <v>0</v>
      </c>
      <c r="F76" s="765"/>
      <c r="G76" s="767">
        <f t="shared" ref="G76:H76" si="15">+G72+G73</f>
        <v>0</v>
      </c>
      <c r="H76" s="767" t="e">
        <f t="shared" si="15"/>
        <v>#REF!</v>
      </c>
      <c r="I76" s="767">
        <f t="shared" si="14"/>
        <v>0</v>
      </c>
    </row>
    <row r="77" spans="1:9" ht="15" customHeight="1" x14ac:dyDescent="0.2">
      <c r="A77" s="835" t="s">
        <v>1220</v>
      </c>
      <c r="B77" s="835"/>
      <c r="C77" s="835"/>
      <c r="D77" s="835"/>
      <c r="E77" s="767"/>
      <c r="F77" s="765"/>
      <c r="G77" s="767"/>
      <c r="H77" s="767" t="e">
        <f>+H76-#REF!</f>
        <v>#REF!</v>
      </c>
      <c r="I77" s="767">
        <f t="shared" si="14"/>
        <v>0</v>
      </c>
    </row>
  </sheetData>
  <mergeCells count="38">
    <mergeCell ref="A2:I2"/>
    <mergeCell ref="A3:D4"/>
    <mergeCell ref="A5:D5"/>
    <mergeCell ref="C57:D57"/>
    <mergeCell ref="A6:B9"/>
    <mergeCell ref="A10:D10"/>
    <mergeCell ref="A14:D14"/>
    <mergeCell ref="A11:B13"/>
    <mergeCell ref="A15:D15"/>
    <mergeCell ref="A21:D21"/>
    <mergeCell ref="A16:B20"/>
    <mergeCell ref="C37:D37"/>
    <mergeCell ref="A27:D27"/>
    <mergeCell ref="A28:D28"/>
    <mergeCell ref="A22:D22"/>
    <mergeCell ref="A24:I24"/>
    <mergeCell ref="A25:D26"/>
    <mergeCell ref="C29:D29"/>
    <mergeCell ref="C38:D38"/>
    <mergeCell ref="A45:D45"/>
    <mergeCell ref="A55:D55"/>
    <mergeCell ref="A30:B36"/>
    <mergeCell ref="A39:B44"/>
    <mergeCell ref="A46:B54"/>
    <mergeCell ref="A57:A59"/>
    <mergeCell ref="A60:B63"/>
    <mergeCell ref="A76:D76"/>
    <mergeCell ref="A56:D56"/>
    <mergeCell ref="A77:D77"/>
    <mergeCell ref="C74:D74"/>
    <mergeCell ref="C75:D75"/>
    <mergeCell ref="A65:B71"/>
    <mergeCell ref="A74:A75"/>
    <mergeCell ref="C58:D58"/>
    <mergeCell ref="C59:D59"/>
    <mergeCell ref="A64:D64"/>
    <mergeCell ref="A72:D72"/>
    <mergeCell ref="A73:D73"/>
  </mergeCells>
  <pageMargins left="0.7" right="0.7" top="0.75" bottom="0.75" header="0.3" footer="0.3"/>
  <pageSetup paperSize="9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view="pageBreakPreview" zoomScale="130" zoomScaleNormal="110" zoomScaleSheetLayoutView="130" workbookViewId="0">
      <selection activeCell="C3" sqref="C3:C4"/>
    </sheetView>
  </sheetViews>
  <sheetFormatPr defaultColWidth="9.140625" defaultRowHeight="15.75" x14ac:dyDescent="0.25"/>
  <cols>
    <col min="1" max="1" width="9.140625" style="5"/>
    <col min="2" max="2" width="53" style="3" customWidth="1"/>
    <col min="3" max="3" width="13.85546875" style="4" customWidth="1"/>
    <col min="4" max="5" width="11.7109375" style="4" hidden="1" customWidth="1"/>
    <col min="6" max="6" width="10" style="5" hidden="1" customWidth="1"/>
    <col min="7" max="7" width="12.7109375" style="5" hidden="1" customWidth="1"/>
    <col min="8" max="8" width="12.7109375" style="263" hidden="1" customWidth="1"/>
    <col min="9" max="9" width="12.7109375" style="5" hidden="1" customWidth="1"/>
    <col min="10" max="10" width="10.7109375" style="263" hidden="1" customWidth="1"/>
    <col min="11" max="11" width="11.5703125" style="5" hidden="1" customWidth="1"/>
    <col min="12" max="16384" width="9.140625" style="5"/>
  </cols>
  <sheetData>
    <row r="1" spans="1:11" s="8" customFormat="1" ht="60.6" customHeight="1" x14ac:dyDescent="0.25">
      <c r="A1" s="858"/>
      <c r="B1" s="859"/>
      <c r="C1" s="68" t="s">
        <v>937</v>
      </c>
      <c r="D1" s="68" t="s">
        <v>897</v>
      </c>
      <c r="E1" s="68" t="s">
        <v>896</v>
      </c>
      <c r="F1" s="68" t="s">
        <v>898</v>
      </c>
      <c r="G1" s="68" t="s">
        <v>899</v>
      </c>
      <c r="H1" s="68" t="s">
        <v>909</v>
      </c>
      <c r="I1" s="68" t="s">
        <v>910</v>
      </c>
      <c r="J1" s="68" t="s">
        <v>933</v>
      </c>
      <c r="K1" s="68" t="s">
        <v>934</v>
      </c>
    </row>
    <row r="2" spans="1:11" ht="32.25" customHeight="1" x14ac:dyDescent="0.25">
      <c r="A2" s="857" t="s">
        <v>108</v>
      </c>
      <c r="B2" s="857"/>
      <c r="C2" s="284">
        <f>SUM(C3:C4)</f>
        <v>1216850</v>
      </c>
      <c r="D2" s="285"/>
      <c r="E2" s="284">
        <f>SUM(E3:E4)</f>
        <v>0</v>
      </c>
      <c r="F2" s="285">
        <f t="shared" ref="F2" si="0">G2-E2</f>
        <v>0</v>
      </c>
      <c r="G2" s="284">
        <f t="shared" ref="G2" si="1">SUM(G3:G4)</f>
        <v>0</v>
      </c>
      <c r="H2" s="286">
        <f>I2-G2</f>
        <v>0</v>
      </c>
      <c r="I2" s="284">
        <f>SUM(I3:I4)</f>
        <v>0</v>
      </c>
      <c r="J2" s="286">
        <f>K2-I2</f>
        <v>0</v>
      </c>
      <c r="K2" s="284">
        <f>SUM(K3:K4)</f>
        <v>0</v>
      </c>
    </row>
    <row r="3" spans="1:11" ht="32.25" customHeight="1" x14ac:dyDescent="0.25">
      <c r="A3" s="857" t="s">
        <v>9</v>
      </c>
      <c r="B3" s="857"/>
      <c r="C3" s="285">
        <v>150000</v>
      </c>
      <c r="D3" s="285"/>
      <c r="E3" s="285"/>
      <c r="F3" s="285"/>
      <c r="G3" s="285"/>
      <c r="H3" s="286"/>
      <c r="I3" s="285"/>
      <c r="J3" s="286"/>
      <c r="K3" s="285"/>
    </row>
    <row r="4" spans="1:11" ht="32.25" customHeight="1" x14ac:dyDescent="0.25">
      <c r="A4" s="857" t="s">
        <v>107</v>
      </c>
      <c r="B4" s="857"/>
      <c r="C4" s="285">
        <f>SUM(C5:C57)</f>
        <v>1066850</v>
      </c>
      <c r="D4" s="287">
        <f t="shared" ref="D4" si="2">E4-C4</f>
        <v>-1066850</v>
      </c>
      <c r="E4" s="285">
        <f>SUM(E5:E59)</f>
        <v>0</v>
      </c>
      <c r="F4" s="287">
        <f>G4-E4</f>
        <v>0</v>
      </c>
      <c r="G4" s="285">
        <f>SUM(G5:G59)</f>
        <v>0</v>
      </c>
      <c r="H4" s="286">
        <f t="shared" ref="H4" si="3">I4-G4</f>
        <v>0</v>
      </c>
      <c r="I4" s="285">
        <f>SUM(I5:I59)</f>
        <v>0</v>
      </c>
      <c r="J4" s="286">
        <f>K4-I4</f>
        <v>0</v>
      </c>
      <c r="K4" s="285">
        <f>SUM(K5:K59)</f>
        <v>0</v>
      </c>
    </row>
    <row r="5" spans="1:11" x14ac:dyDescent="0.25">
      <c r="A5" s="5" t="s">
        <v>1172</v>
      </c>
      <c r="B5" s="752" t="s">
        <v>119</v>
      </c>
      <c r="C5" s="114"/>
      <c r="D5" s="269"/>
      <c r="E5" s="114"/>
      <c r="F5" s="270"/>
      <c r="G5" s="270"/>
      <c r="H5" s="271"/>
      <c r="I5" s="270"/>
      <c r="J5" s="271"/>
      <c r="K5" s="270"/>
    </row>
    <row r="6" spans="1:11" x14ac:dyDescent="0.25">
      <c r="A6" s="731">
        <v>1</v>
      </c>
      <c r="B6" s="272" t="s">
        <v>188</v>
      </c>
      <c r="C6" s="273">
        <v>18000</v>
      </c>
      <c r="D6" s="274"/>
      <c r="E6" s="273"/>
      <c r="F6" s="273"/>
      <c r="G6" s="273"/>
      <c r="H6" s="275"/>
      <c r="I6" s="273"/>
      <c r="J6" s="275"/>
      <c r="K6" s="273"/>
    </row>
    <row r="7" spans="1:11" x14ac:dyDescent="0.25">
      <c r="A7" s="731">
        <v>2</v>
      </c>
      <c r="B7" s="272" t="s">
        <v>1076</v>
      </c>
      <c r="C7" s="273">
        <v>10000</v>
      </c>
      <c r="D7" s="274"/>
      <c r="E7" s="273"/>
      <c r="F7" s="273"/>
      <c r="G7" s="273"/>
      <c r="H7" s="275"/>
      <c r="I7" s="273"/>
      <c r="J7" s="275"/>
      <c r="K7" s="273"/>
    </row>
    <row r="8" spans="1:11" x14ac:dyDescent="0.25">
      <c r="A8" s="731">
        <v>3</v>
      </c>
      <c r="B8" s="272" t="s">
        <v>1170</v>
      </c>
      <c r="C8" s="273">
        <v>850</v>
      </c>
      <c r="D8" s="274"/>
      <c r="E8" s="273"/>
      <c r="F8" s="273"/>
      <c r="G8" s="273"/>
      <c r="H8" s="275"/>
      <c r="I8" s="273"/>
      <c r="J8" s="275"/>
      <c r="K8" s="273"/>
    </row>
    <row r="9" spans="1:11" x14ac:dyDescent="0.25">
      <c r="A9" s="731">
        <v>4</v>
      </c>
      <c r="B9" s="272" t="s">
        <v>1228</v>
      </c>
      <c r="C9" s="273">
        <v>50000</v>
      </c>
      <c r="D9" s="274"/>
      <c r="E9" s="273"/>
      <c r="F9" s="273"/>
      <c r="G9" s="273"/>
      <c r="H9" s="275"/>
      <c r="I9" s="273"/>
      <c r="J9" s="275"/>
      <c r="K9" s="273"/>
    </row>
    <row r="10" spans="1:11" x14ac:dyDescent="0.25">
      <c r="A10" s="731"/>
      <c r="B10" s="272"/>
      <c r="C10" s="273"/>
      <c r="D10" s="274"/>
      <c r="E10" s="273"/>
      <c r="F10" s="273"/>
      <c r="G10" s="273"/>
      <c r="H10" s="275"/>
      <c r="I10" s="273"/>
      <c r="J10" s="275"/>
      <c r="K10" s="273"/>
    </row>
    <row r="11" spans="1:11" x14ac:dyDescent="0.25">
      <c r="A11" s="731"/>
      <c r="B11" s="277" t="s">
        <v>134</v>
      </c>
      <c r="C11" s="278"/>
      <c r="D11" s="273"/>
      <c r="E11" s="273"/>
      <c r="F11" s="273"/>
      <c r="G11" s="273"/>
      <c r="H11" s="275"/>
      <c r="I11" s="273"/>
      <c r="J11" s="275"/>
      <c r="K11" s="273"/>
    </row>
    <row r="12" spans="1:11" x14ac:dyDescent="0.25">
      <c r="A12" s="731">
        <v>5</v>
      </c>
      <c r="B12" s="272" t="s">
        <v>1226</v>
      </c>
      <c r="C12" s="273">
        <v>18000</v>
      </c>
      <c r="D12" s="274"/>
      <c r="E12" s="273"/>
      <c r="F12" s="273"/>
      <c r="G12" s="273"/>
      <c r="H12" s="275"/>
      <c r="I12" s="273"/>
      <c r="J12" s="275"/>
      <c r="K12" s="273"/>
    </row>
    <row r="13" spans="1:11" x14ac:dyDescent="0.25">
      <c r="A13" s="731">
        <v>6</v>
      </c>
      <c r="B13" s="272" t="s">
        <v>1231</v>
      </c>
      <c r="C13" s="273">
        <v>4000</v>
      </c>
      <c r="D13" s="274"/>
      <c r="E13" s="273"/>
      <c r="F13" s="273"/>
      <c r="G13" s="273"/>
      <c r="H13" s="275"/>
      <c r="I13" s="273"/>
      <c r="J13" s="275"/>
      <c r="K13" s="273"/>
    </row>
    <row r="14" spans="1:11" x14ac:dyDescent="0.25">
      <c r="A14" s="731"/>
      <c r="B14" s="272"/>
      <c r="C14" s="273"/>
      <c r="D14" s="274"/>
      <c r="E14" s="273"/>
      <c r="F14" s="273"/>
      <c r="G14" s="273"/>
      <c r="H14" s="275"/>
      <c r="I14" s="273"/>
      <c r="J14" s="275"/>
      <c r="K14" s="273"/>
    </row>
    <row r="15" spans="1:11" x14ac:dyDescent="0.25">
      <c r="A15" s="731"/>
      <c r="B15" s="277" t="s">
        <v>120</v>
      </c>
      <c r="C15" s="279"/>
      <c r="D15" s="279"/>
      <c r="E15" s="279"/>
      <c r="F15" s="279"/>
      <c r="G15" s="279"/>
      <c r="H15" s="275"/>
      <c r="I15" s="273"/>
      <c r="J15" s="275"/>
      <c r="K15" s="273"/>
    </row>
    <row r="16" spans="1:11" x14ac:dyDescent="0.25">
      <c r="A16" s="731">
        <v>7</v>
      </c>
      <c r="B16" s="272" t="s">
        <v>1225</v>
      </c>
      <c r="C16" s="280">
        <v>650000</v>
      </c>
      <c r="D16" s="281"/>
      <c r="E16" s="280"/>
      <c r="F16" s="273"/>
      <c r="G16" s="280"/>
      <c r="H16" s="275"/>
      <c r="I16" s="273"/>
      <c r="J16" s="275"/>
      <c r="K16" s="273"/>
    </row>
    <row r="17" spans="1:11" x14ac:dyDescent="0.25">
      <c r="A17" s="731">
        <v>8</v>
      </c>
      <c r="B17" s="272" t="s">
        <v>126</v>
      </c>
      <c r="C17" s="273">
        <f>100000-15000</f>
        <v>85000</v>
      </c>
      <c r="D17" s="281"/>
      <c r="E17" s="273"/>
      <c r="F17" s="273"/>
      <c r="G17" s="273"/>
      <c r="H17" s="275"/>
      <c r="I17" s="273"/>
      <c r="J17" s="275"/>
      <c r="K17" s="273"/>
    </row>
    <row r="18" spans="1:11" x14ac:dyDescent="0.25">
      <c r="A18" s="731">
        <v>9</v>
      </c>
      <c r="B18" s="760" t="s">
        <v>1175</v>
      </c>
      <c r="C18" s="273">
        <v>30000</v>
      </c>
      <c r="D18" s="281"/>
      <c r="E18" s="273"/>
      <c r="F18" s="273"/>
      <c r="G18" s="273"/>
      <c r="H18" s="275"/>
      <c r="I18" s="273"/>
      <c r="J18" s="275"/>
      <c r="K18" s="273"/>
    </row>
    <row r="19" spans="1:11" x14ac:dyDescent="0.25">
      <c r="A19" s="731">
        <v>10</v>
      </c>
      <c r="B19" s="760" t="s">
        <v>1174</v>
      </c>
      <c r="C19" s="273">
        <v>15000</v>
      </c>
      <c r="D19" s="281"/>
      <c r="E19" s="273"/>
      <c r="F19" s="273"/>
      <c r="G19" s="273"/>
      <c r="H19" s="275"/>
      <c r="I19" s="273"/>
      <c r="J19" s="275"/>
      <c r="K19" s="273"/>
    </row>
    <row r="20" spans="1:11" x14ac:dyDescent="0.25">
      <c r="A20" s="731">
        <v>11</v>
      </c>
      <c r="B20" s="760" t="s">
        <v>1173</v>
      </c>
      <c r="C20" s="273">
        <v>100000</v>
      </c>
      <c r="D20" s="281"/>
      <c r="E20" s="273"/>
      <c r="F20" s="273"/>
      <c r="G20" s="273"/>
      <c r="H20" s="275"/>
      <c r="I20" s="273"/>
      <c r="J20" s="275"/>
      <c r="K20" s="273"/>
    </row>
    <row r="21" spans="1:11" x14ac:dyDescent="0.25">
      <c r="A21" s="731">
        <v>12</v>
      </c>
      <c r="B21" s="760" t="s">
        <v>1169</v>
      </c>
      <c r="C21" s="273">
        <v>6000</v>
      </c>
      <c r="D21" s="281"/>
      <c r="E21" s="273"/>
      <c r="F21" s="273"/>
      <c r="G21" s="273"/>
      <c r="H21" s="275"/>
      <c r="I21" s="273"/>
      <c r="J21" s="275"/>
      <c r="K21" s="273"/>
    </row>
    <row r="22" spans="1:11" ht="31.5" x14ac:dyDescent="0.25">
      <c r="A22" s="731">
        <v>13</v>
      </c>
      <c r="B22" s="760" t="s">
        <v>1227</v>
      </c>
      <c r="C22" s="273">
        <v>3500</v>
      </c>
      <c r="D22" s="281"/>
      <c r="E22" s="273"/>
      <c r="F22" s="273"/>
      <c r="G22" s="273"/>
      <c r="H22" s="275"/>
      <c r="I22" s="273"/>
      <c r="J22" s="275"/>
      <c r="K22" s="273"/>
    </row>
    <row r="23" spans="1:11" x14ac:dyDescent="0.25">
      <c r="A23" s="731"/>
      <c r="B23" s="277" t="s">
        <v>121</v>
      </c>
      <c r="C23" s="279"/>
      <c r="D23" s="273"/>
      <c r="E23" s="279"/>
      <c r="F23" s="273"/>
      <c r="G23" s="279"/>
      <c r="H23" s="275"/>
      <c r="I23" s="273"/>
      <c r="J23" s="275"/>
      <c r="K23" s="273"/>
    </row>
    <row r="24" spans="1:11" x14ac:dyDescent="0.25">
      <c r="A24" s="731">
        <v>14</v>
      </c>
      <c r="B24" s="272" t="s">
        <v>113</v>
      </c>
      <c r="C24" s="273">
        <v>10000</v>
      </c>
      <c r="D24" s="281"/>
      <c r="E24" s="273"/>
      <c r="F24" s="273"/>
      <c r="G24" s="273"/>
      <c r="H24" s="275"/>
      <c r="I24" s="273"/>
      <c r="J24" s="275"/>
      <c r="K24" s="273"/>
    </row>
    <row r="25" spans="1:11" x14ac:dyDescent="0.25">
      <c r="A25" s="731">
        <v>15</v>
      </c>
      <c r="B25" s="272" t="s">
        <v>125</v>
      </c>
      <c r="C25" s="280"/>
      <c r="D25" s="281"/>
      <c r="E25" s="280"/>
      <c r="F25" s="273"/>
      <c r="G25" s="280"/>
      <c r="H25" s="275"/>
      <c r="I25" s="273"/>
      <c r="J25" s="275"/>
      <c r="K25" s="273"/>
    </row>
    <row r="26" spans="1:11" x14ac:dyDescent="0.25">
      <c r="A26" s="731">
        <v>16</v>
      </c>
      <c r="B26" s="272" t="s">
        <v>1232</v>
      </c>
      <c r="C26" s="280">
        <v>20000</v>
      </c>
      <c r="D26" s="281"/>
      <c r="E26" s="280"/>
      <c r="F26" s="273"/>
      <c r="G26" s="280"/>
      <c r="H26" s="275"/>
      <c r="I26" s="273"/>
      <c r="J26" s="275"/>
      <c r="K26" s="273"/>
    </row>
    <row r="27" spans="1:11" x14ac:dyDescent="0.25">
      <c r="A27" s="731">
        <v>17</v>
      </c>
      <c r="B27" s="272" t="s">
        <v>130</v>
      </c>
      <c r="C27" s="273">
        <v>3000</v>
      </c>
      <c r="D27" s="281"/>
      <c r="E27" s="273"/>
      <c r="F27" s="276"/>
      <c r="G27" s="273"/>
      <c r="H27" s="275"/>
      <c r="I27" s="273"/>
      <c r="J27" s="275"/>
      <c r="K27" s="273"/>
    </row>
    <row r="28" spans="1:11" hidden="1" x14ac:dyDescent="0.25">
      <c r="A28" s="731"/>
      <c r="B28" s="272" t="s">
        <v>189</v>
      </c>
      <c r="C28" s="273"/>
      <c r="D28" s="281"/>
      <c r="E28" s="273"/>
      <c r="F28" s="273"/>
      <c r="G28" s="273"/>
      <c r="H28" s="275"/>
      <c r="I28" s="273"/>
      <c r="J28" s="275"/>
      <c r="K28" s="273"/>
    </row>
    <row r="29" spans="1:11" hidden="1" x14ac:dyDescent="0.25">
      <c r="A29" s="731"/>
      <c r="B29" s="272" t="s">
        <v>131</v>
      </c>
      <c r="C29" s="273"/>
      <c r="D29" s="281"/>
      <c r="E29" s="273"/>
      <c r="F29" s="273"/>
      <c r="G29" s="273"/>
      <c r="H29" s="275"/>
      <c r="I29" s="273"/>
      <c r="J29" s="275"/>
      <c r="K29" s="273"/>
    </row>
    <row r="30" spans="1:11" x14ac:dyDescent="0.25">
      <c r="A30" s="731">
        <v>18</v>
      </c>
      <c r="B30" s="272" t="s">
        <v>132</v>
      </c>
      <c r="C30" s="273">
        <v>2000</v>
      </c>
      <c r="D30" s="274"/>
      <c r="E30" s="273"/>
      <c r="F30" s="273"/>
      <c r="G30" s="273"/>
      <c r="H30" s="275"/>
      <c r="I30" s="273"/>
      <c r="J30" s="275"/>
      <c r="K30" s="273"/>
    </row>
    <row r="31" spans="1:11" hidden="1" x14ac:dyDescent="0.25">
      <c r="A31" s="731"/>
      <c r="B31" s="272" t="s">
        <v>190</v>
      </c>
      <c r="C31" s="273"/>
      <c r="D31" s="274"/>
      <c r="E31" s="273"/>
      <c r="F31" s="276"/>
      <c r="G31" s="273"/>
      <c r="H31" s="275"/>
      <c r="I31" s="273"/>
      <c r="J31" s="275"/>
      <c r="K31" s="273"/>
    </row>
    <row r="32" spans="1:11" hidden="1" x14ac:dyDescent="0.25">
      <c r="A32" s="731"/>
      <c r="B32" s="272" t="s">
        <v>198</v>
      </c>
      <c r="C32" s="273"/>
      <c r="D32" s="274"/>
      <c r="E32" s="273"/>
      <c r="F32" s="273"/>
      <c r="G32" s="273"/>
      <c r="H32" s="275"/>
      <c r="I32" s="273"/>
      <c r="J32" s="275"/>
      <c r="K32" s="273"/>
    </row>
    <row r="33" spans="1:11" hidden="1" x14ac:dyDescent="0.25">
      <c r="A33" s="731"/>
      <c r="B33" s="272" t="s">
        <v>186</v>
      </c>
      <c r="C33" s="273"/>
      <c r="D33" s="274"/>
      <c r="E33" s="273"/>
      <c r="F33" s="273"/>
      <c r="G33" s="273"/>
      <c r="H33" s="275"/>
      <c r="I33" s="273"/>
      <c r="J33" s="275"/>
      <c r="K33" s="273"/>
    </row>
    <row r="34" spans="1:11" x14ac:dyDescent="0.25">
      <c r="A34" s="731">
        <v>19</v>
      </c>
      <c r="B34" s="272" t="s">
        <v>1166</v>
      </c>
      <c r="C34" s="273">
        <v>4000</v>
      </c>
      <c r="D34" s="274"/>
      <c r="E34" s="273"/>
      <c r="F34" s="273"/>
      <c r="G34" s="273"/>
      <c r="H34" s="275"/>
      <c r="I34" s="273"/>
      <c r="J34" s="275"/>
      <c r="K34" s="273"/>
    </row>
    <row r="35" spans="1:11" x14ac:dyDescent="0.25">
      <c r="A35" s="731">
        <v>20</v>
      </c>
      <c r="B35" s="272" t="s">
        <v>251</v>
      </c>
      <c r="C35" s="273"/>
      <c r="D35" s="274"/>
      <c r="E35" s="273"/>
      <c r="F35" s="273"/>
      <c r="G35" s="273"/>
      <c r="H35" s="275"/>
      <c r="I35" s="273"/>
      <c r="J35" s="275"/>
      <c r="K35" s="273"/>
    </row>
    <row r="36" spans="1:11" x14ac:dyDescent="0.25">
      <c r="B36" s="277" t="s">
        <v>122</v>
      </c>
      <c r="C36" s="279"/>
      <c r="D36" s="273"/>
      <c r="E36" s="279"/>
      <c r="F36" s="273"/>
      <c r="G36" s="279"/>
      <c r="H36" s="275"/>
      <c r="I36" s="273"/>
      <c r="J36" s="275"/>
      <c r="K36" s="273"/>
    </row>
    <row r="37" spans="1:11" hidden="1" x14ac:dyDescent="0.25">
      <c r="A37" s="731"/>
      <c r="B37" s="272" t="s">
        <v>114</v>
      </c>
      <c r="C37" s="273"/>
      <c r="D37" s="274"/>
      <c r="E37" s="273"/>
      <c r="F37" s="273"/>
      <c r="G37" s="273"/>
      <c r="H37" s="275"/>
      <c r="I37" s="273"/>
      <c r="J37" s="275"/>
      <c r="K37" s="273"/>
    </row>
    <row r="38" spans="1:11" hidden="1" x14ac:dyDescent="0.25">
      <c r="A38" s="731"/>
      <c r="B38" s="272" t="s">
        <v>191</v>
      </c>
      <c r="C38" s="273"/>
      <c r="D38" s="274"/>
      <c r="E38" s="273"/>
      <c r="F38" s="273"/>
      <c r="G38" s="273"/>
      <c r="H38" s="275"/>
      <c r="I38" s="273"/>
      <c r="J38" s="275"/>
      <c r="K38" s="273"/>
    </row>
    <row r="39" spans="1:11" hidden="1" x14ac:dyDescent="0.25">
      <c r="A39" s="731"/>
      <c r="B39" s="272" t="s">
        <v>192</v>
      </c>
      <c r="C39" s="273"/>
      <c r="D39" s="274"/>
      <c r="E39" s="273"/>
      <c r="F39" s="273"/>
      <c r="G39" s="273"/>
      <c r="H39" s="275"/>
      <c r="I39" s="273"/>
      <c r="J39" s="275"/>
      <c r="K39" s="273"/>
    </row>
    <row r="40" spans="1:11" hidden="1" x14ac:dyDescent="0.25">
      <c r="A40" s="731"/>
      <c r="B40" s="272" t="s">
        <v>193</v>
      </c>
      <c r="C40" s="273"/>
      <c r="D40" s="274"/>
      <c r="E40" s="273"/>
      <c r="F40" s="273"/>
      <c r="G40" s="273"/>
      <c r="H40" s="275"/>
      <c r="I40" s="273"/>
      <c r="J40" s="275"/>
      <c r="K40" s="273"/>
    </row>
    <row r="41" spans="1:11" x14ac:dyDescent="0.25">
      <c r="A41" s="731">
        <v>21</v>
      </c>
      <c r="B41" s="272" t="s">
        <v>187</v>
      </c>
      <c r="C41" s="273">
        <v>3000</v>
      </c>
      <c r="D41" s="274"/>
      <c r="E41" s="273"/>
      <c r="F41" s="273"/>
      <c r="G41" s="273"/>
      <c r="H41" s="275"/>
      <c r="I41" s="273"/>
      <c r="J41" s="275"/>
      <c r="K41" s="273"/>
    </row>
    <row r="42" spans="1:11" hidden="1" x14ac:dyDescent="0.25">
      <c r="A42" s="731"/>
      <c r="B42" s="272" t="s">
        <v>197</v>
      </c>
      <c r="C42" s="273"/>
      <c r="D42" s="274"/>
      <c r="E42" s="273"/>
      <c r="F42" s="273"/>
      <c r="G42" s="273"/>
      <c r="H42" s="275"/>
      <c r="I42" s="273"/>
      <c r="J42" s="275"/>
      <c r="K42" s="273"/>
    </row>
    <row r="43" spans="1:11" hidden="1" x14ac:dyDescent="0.25">
      <c r="A43" s="731"/>
      <c r="B43" s="272" t="s">
        <v>199</v>
      </c>
      <c r="C43" s="273"/>
      <c r="D43" s="274"/>
      <c r="E43" s="273"/>
      <c r="F43" s="273"/>
      <c r="G43" s="273"/>
      <c r="H43" s="275"/>
      <c r="I43" s="273"/>
      <c r="J43" s="275"/>
      <c r="K43" s="273"/>
    </row>
    <row r="44" spans="1:11" x14ac:dyDescent="0.25">
      <c r="B44" s="277" t="s">
        <v>123</v>
      </c>
      <c r="C44" s="282"/>
      <c r="D44" s="273"/>
      <c r="E44" s="282"/>
      <c r="F44" s="273"/>
      <c r="G44" s="282"/>
      <c r="H44" s="275"/>
      <c r="I44" s="273"/>
      <c r="J44" s="275"/>
      <c r="K44" s="273"/>
    </row>
    <row r="45" spans="1:11" x14ac:dyDescent="0.25">
      <c r="A45" s="731">
        <v>22</v>
      </c>
      <c r="B45" s="283" t="s">
        <v>1230</v>
      </c>
      <c r="C45" s="273">
        <v>4500</v>
      </c>
      <c r="D45" s="274"/>
      <c r="E45" s="273"/>
      <c r="F45" s="273"/>
      <c r="G45" s="273"/>
      <c r="H45" s="275"/>
      <c r="I45" s="273"/>
      <c r="J45" s="275"/>
      <c r="K45" s="273"/>
    </row>
    <row r="46" spans="1:11" hidden="1" x14ac:dyDescent="0.25">
      <c r="A46" s="731"/>
      <c r="B46" s="272" t="s">
        <v>128</v>
      </c>
      <c r="C46" s="273"/>
      <c r="D46" s="274"/>
      <c r="E46" s="273"/>
      <c r="F46" s="273"/>
      <c r="G46" s="273"/>
      <c r="H46" s="275"/>
      <c r="I46" s="273"/>
      <c r="J46" s="275"/>
      <c r="K46" s="273"/>
    </row>
    <row r="47" spans="1:11" hidden="1" x14ac:dyDescent="0.25">
      <c r="A47" s="731"/>
      <c r="B47" s="272" t="s">
        <v>248</v>
      </c>
      <c r="C47" s="273"/>
      <c r="D47" s="274"/>
      <c r="E47" s="273"/>
      <c r="F47" s="276"/>
      <c r="G47" s="273"/>
      <c r="H47" s="275"/>
      <c r="I47" s="273"/>
      <c r="J47" s="275"/>
      <c r="K47" s="273"/>
    </row>
    <row r="48" spans="1:11" x14ac:dyDescent="0.25">
      <c r="B48" s="277" t="s">
        <v>124</v>
      </c>
      <c r="C48" s="278"/>
      <c r="D48" s="273"/>
      <c r="E48" s="278"/>
      <c r="F48" s="273"/>
      <c r="G48" s="278"/>
      <c r="H48" s="275"/>
      <c r="I48" s="273"/>
      <c r="J48" s="275"/>
      <c r="K48" s="273"/>
    </row>
    <row r="49" spans="1:11" hidden="1" x14ac:dyDescent="0.25">
      <c r="A49" s="731"/>
      <c r="B49" s="283" t="s">
        <v>115</v>
      </c>
      <c r="C49" s="273"/>
      <c r="D49" s="274"/>
      <c r="E49" s="273"/>
      <c r="F49" s="273"/>
      <c r="G49" s="273"/>
      <c r="H49" s="275"/>
      <c r="I49" s="273"/>
      <c r="J49" s="275"/>
      <c r="K49" s="273"/>
    </row>
    <row r="50" spans="1:11" x14ac:dyDescent="0.25">
      <c r="A50" s="731">
        <v>23</v>
      </c>
      <c r="B50" s="283" t="s">
        <v>118</v>
      </c>
      <c r="C50" s="273">
        <v>10000</v>
      </c>
      <c r="D50" s="274"/>
      <c r="E50" s="273"/>
      <c r="F50" s="273"/>
      <c r="G50" s="273"/>
      <c r="H50" s="275"/>
      <c r="I50" s="273"/>
      <c r="J50" s="275"/>
      <c r="K50" s="273"/>
    </row>
    <row r="51" spans="1:11" hidden="1" x14ac:dyDescent="0.25">
      <c r="A51" s="731"/>
      <c r="B51" s="272" t="s">
        <v>133</v>
      </c>
      <c r="C51" s="273"/>
      <c r="D51" s="274"/>
      <c r="E51" s="273"/>
      <c r="F51" s="273"/>
      <c r="G51" s="273"/>
      <c r="H51" s="275"/>
      <c r="I51" s="273"/>
      <c r="J51" s="275"/>
      <c r="K51" s="273"/>
    </row>
    <row r="52" spans="1:11" hidden="1" x14ac:dyDescent="0.25">
      <c r="A52" s="731"/>
      <c r="B52" s="272" t="s">
        <v>1232</v>
      </c>
      <c r="C52" s="273"/>
      <c r="D52" s="274"/>
      <c r="E52" s="273"/>
      <c r="F52" s="273"/>
      <c r="G52" s="273"/>
      <c r="H52" s="275"/>
      <c r="I52" s="273"/>
      <c r="J52" s="275"/>
      <c r="K52" s="273"/>
    </row>
    <row r="53" spans="1:11" x14ac:dyDescent="0.25">
      <c r="A53" s="731">
        <v>24</v>
      </c>
      <c r="B53" s="272" t="s">
        <v>185</v>
      </c>
      <c r="C53" s="273">
        <v>10000</v>
      </c>
      <c r="D53" s="274"/>
      <c r="E53" s="273"/>
      <c r="F53" s="273"/>
      <c r="G53" s="273"/>
      <c r="H53" s="275"/>
      <c r="I53" s="273"/>
      <c r="J53" s="275"/>
      <c r="K53" s="273"/>
    </row>
    <row r="54" spans="1:11" hidden="1" x14ac:dyDescent="0.25">
      <c r="A54" s="731"/>
      <c r="B54" s="272"/>
      <c r="C54" s="273"/>
      <c r="D54" s="274"/>
      <c r="E54" s="273"/>
      <c r="F54" s="273"/>
      <c r="G54" s="273"/>
      <c r="H54" s="275"/>
      <c r="I54" s="273"/>
      <c r="J54" s="275"/>
      <c r="K54" s="273"/>
    </row>
    <row r="55" spans="1:11" x14ac:dyDescent="0.25">
      <c r="A55" s="731">
        <v>25</v>
      </c>
      <c r="B55" s="272" t="s">
        <v>196</v>
      </c>
      <c r="C55" s="273">
        <v>10000</v>
      </c>
      <c r="D55" s="274"/>
      <c r="E55" s="273"/>
      <c r="F55" s="273"/>
      <c r="G55" s="273"/>
      <c r="H55" s="275"/>
      <c r="I55" s="273"/>
      <c r="J55" s="275"/>
      <c r="K55" s="273"/>
    </row>
    <row r="56" spans="1:11" x14ac:dyDescent="0.25">
      <c r="A56" s="731"/>
      <c r="B56" s="272"/>
      <c r="C56" s="273"/>
      <c r="D56" s="274"/>
      <c r="E56" s="273"/>
      <c r="F56" s="273"/>
      <c r="G56" s="273"/>
      <c r="H56" s="275"/>
      <c r="I56" s="273"/>
      <c r="J56" s="275"/>
      <c r="K56" s="273"/>
    </row>
    <row r="57" spans="1:11" x14ac:dyDescent="0.25">
      <c r="A57" s="731"/>
      <c r="B57" s="272"/>
      <c r="C57" s="273"/>
      <c r="D57" s="754"/>
      <c r="E57" s="753"/>
      <c r="F57" s="753"/>
      <c r="G57" s="753"/>
      <c r="H57" s="755"/>
      <c r="I57" s="753"/>
      <c r="J57" s="755"/>
      <c r="K57" s="753"/>
    </row>
    <row r="64" spans="1:11" x14ac:dyDescent="0.25">
      <c r="B64" s="5"/>
      <c r="C64" s="5"/>
    </row>
  </sheetData>
  <mergeCells count="4">
    <mergeCell ref="A2:B2"/>
    <mergeCell ref="A3:B3"/>
    <mergeCell ref="A1:B1"/>
    <mergeCell ref="A4:B4"/>
  </mergeCells>
  <conditionalFormatting sqref="D2:D5 D11 D23 D36 D44 D48 D58:D1048576">
    <cfRule type="cellIs" dxfId="4" priority="8" operator="equal">
      <formula>0</formula>
    </cfRule>
  </conditionalFormatting>
  <conditionalFormatting sqref="D1">
    <cfRule type="cellIs" dxfId="3" priority="5" operator="equal">
      <formula>0</formula>
    </cfRule>
  </conditionalFormatting>
  <conditionalFormatting sqref="F1">
    <cfRule type="cellIs" dxfId="2" priority="4" operator="equal">
      <formula>0</formula>
    </cfRule>
  </conditionalFormatting>
  <conditionalFormatting sqref="H1">
    <cfRule type="cellIs" dxfId="1" priority="3" operator="equal">
      <formula>0</formula>
    </cfRule>
  </conditionalFormatting>
  <conditionalFormatting sqref="J1">
    <cfRule type="cellIs" dxfId="0" priority="1" operator="equal">
      <formula>0</formula>
    </cfRule>
  </conditionalFormatting>
  <printOptions gridLines="1"/>
  <pageMargins left="0.27559055118110237" right="0.15748031496062992" top="0.74803149606299213" bottom="0.74803149606299213" header="0.31496062992125984" footer="0.31496062992125984"/>
  <pageSetup paperSize="9" fitToHeight="0" orientation="portrait" r:id="rId1"/>
  <headerFooter>
    <oddHeader>&amp;R6. melléklet az .../2021. (XII. .....)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zoomScaleNormal="100" zoomScaleSheetLayoutView="100" workbookViewId="0">
      <selection activeCell="B8" sqref="B8"/>
    </sheetView>
  </sheetViews>
  <sheetFormatPr defaultColWidth="9.140625" defaultRowHeight="15.75" x14ac:dyDescent="0.25"/>
  <cols>
    <col min="1" max="1" width="70.7109375" style="737" customWidth="1"/>
    <col min="2" max="2" width="15.7109375" style="737" customWidth="1"/>
    <col min="3" max="3" width="10.7109375" style="738" hidden="1" customWidth="1"/>
    <col min="4" max="4" width="15.7109375" style="737" hidden="1" customWidth="1"/>
    <col min="5" max="5" width="9.140625" style="715"/>
    <col min="6" max="16384" width="9.140625" style="737"/>
  </cols>
  <sheetData>
    <row r="1" spans="1:4" ht="48" thickBot="1" x14ac:dyDescent="0.3">
      <c r="A1" s="862"/>
      <c r="B1" s="863" t="s">
        <v>937</v>
      </c>
      <c r="C1" s="861" t="s">
        <v>1097</v>
      </c>
      <c r="D1" s="714" t="s">
        <v>1098</v>
      </c>
    </row>
    <row r="2" spans="1:4" ht="16.5" thickBot="1" x14ac:dyDescent="0.3">
      <c r="A2" s="716" t="s">
        <v>86</v>
      </c>
      <c r="B2" s="863">
        <f>SUM(B3+B6+B14+B18+B22+B26+B10+B30)</f>
        <v>570.75</v>
      </c>
      <c r="C2" s="717" t="e">
        <f>D2-B2</f>
        <v>#REF!</v>
      </c>
      <c r="D2" s="718" t="e">
        <f>SUM(D3+D6+D14+D18+D22+#REF!+D26+D10+D30)</f>
        <v>#REF!</v>
      </c>
    </row>
    <row r="3" spans="1:4" x14ac:dyDescent="0.25">
      <c r="A3" s="719" t="s">
        <v>87</v>
      </c>
      <c r="B3" s="720">
        <f>B4+B5</f>
        <v>35</v>
      </c>
      <c r="C3" s="721"/>
      <c r="D3" s="720">
        <f>D4+D5</f>
        <v>35</v>
      </c>
    </row>
    <row r="4" spans="1:4" x14ac:dyDescent="0.25">
      <c r="A4" s="722" t="s">
        <v>1099</v>
      </c>
      <c r="B4" s="723">
        <v>15</v>
      </c>
      <c r="C4" s="724"/>
      <c r="D4" s="723">
        <v>15</v>
      </c>
    </row>
    <row r="5" spans="1:4" x14ac:dyDescent="0.25">
      <c r="A5" s="722" t="s">
        <v>1100</v>
      </c>
      <c r="B5" s="723">
        <v>20</v>
      </c>
      <c r="C5" s="724"/>
      <c r="D5" s="723">
        <v>20</v>
      </c>
    </row>
    <row r="6" spans="1:4" x14ac:dyDescent="0.25">
      <c r="A6" s="725" t="s">
        <v>1101</v>
      </c>
      <c r="B6" s="726">
        <f>+B7+B8+B9</f>
        <v>129</v>
      </c>
      <c r="C6" s="727">
        <f>D6-B6</f>
        <v>-20</v>
      </c>
      <c r="D6" s="726">
        <f>D7+D8+D9</f>
        <v>109</v>
      </c>
    </row>
    <row r="7" spans="1:4" x14ac:dyDescent="0.25">
      <c r="A7" s="722" t="s">
        <v>1102</v>
      </c>
      <c r="B7" s="723">
        <f>20+105</f>
        <v>125</v>
      </c>
      <c r="C7" s="724">
        <f>D7-B7</f>
        <v>-20</v>
      </c>
      <c r="D7" s="723">
        <f>102+3</f>
        <v>105</v>
      </c>
    </row>
    <row r="8" spans="1:4" x14ac:dyDescent="0.25">
      <c r="A8" s="722" t="s">
        <v>1103</v>
      </c>
      <c r="B8" s="723">
        <v>0</v>
      </c>
      <c r="C8" s="724"/>
      <c r="D8" s="723">
        <v>0</v>
      </c>
    </row>
    <row r="9" spans="1:4" x14ac:dyDescent="0.25">
      <c r="A9" s="722" t="s">
        <v>1104</v>
      </c>
      <c r="B9" s="723">
        <v>4</v>
      </c>
      <c r="C9" s="724"/>
      <c r="D9" s="723">
        <v>4</v>
      </c>
    </row>
    <row r="10" spans="1:4" ht="31.5" x14ac:dyDescent="0.25">
      <c r="A10" s="728" t="s">
        <v>90</v>
      </c>
      <c r="B10" s="729">
        <f>SUM(B11:B13)</f>
        <v>92.5</v>
      </c>
      <c r="C10" s="730"/>
      <c r="D10" s="729">
        <f>SUM(D11:D13)</f>
        <v>87.5</v>
      </c>
    </row>
    <row r="11" spans="1:4" x14ac:dyDescent="0.25">
      <c r="A11" s="722" t="s">
        <v>1102</v>
      </c>
      <c r="B11" s="731">
        <v>0</v>
      </c>
      <c r="C11" s="724"/>
      <c r="D11" s="731">
        <v>0</v>
      </c>
    </row>
    <row r="12" spans="1:4" x14ac:dyDescent="0.25">
      <c r="A12" s="722" t="s">
        <v>1103</v>
      </c>
      <c r="B12" s="731">
        <f>5+87.5</f>
        <v>92.5</v>
      </c>
      <c r="C12" s="724"/>
      <c r="D12" s="731">
        <v>87.5</v>
      </c>
    </row>
    <row r="13" spans="1:4" x14ac:dyDescent="0.25">
      <c r="A13" s="722" t="s">
        <v>1104</v>
      </c>
      <c r="B13" s="731">
        <v>0</v>
      </c>
      <c r="C13" s="724"/>
      <c r="D13" s="731">
        <v>0</v>
      </c>
    </row>
    <row r="14" spans="1:4" x14ac:dyDescent="0.25">
      <c r="A14" s="732" t="s">
        <v>1105</v>
      </c>
      <c r="B14" s="726">
        <f>SUM(B15:B17)</f>
        <v>112.25</v>
      </c>
      <c r="C14" s="733"/>
      <c r="D14" s="726">
        <f>SUM(D15:D17)</f>
        <v>112.25</v>
      </c>
    </row>
    <row r="15" spans="1:4" x14ac:dyDescent="0.25">
      <c r="A15" s="722" t="s">
        <v>1102</v>
      </c>
      <c r="B15" s="723">
        <v>0</v>
      </c>
      <c r="C15" s="724"/>
      <c r="D15" s="723">
        <v>0</v>
      </c>
    </row>
    <row r="16" spans="1:4" x14ac:dyDescent="0.25">
      <c r="A16" s="722" t="s">
        <v>1103</v>
      </c>
      <c r="B16" s="723">
        <v>112.25</v>
      </c>
      <c r="C16" s="724"/>
      <c r="D16" s="723">
        <v>112.25</v>
      </c>
    </row>
    <row r="17" spans="1:4" x14ac:dyDescent="0.25">
      <c r="A17" s="722" t="s">
        <v>1104</v>
      </c>
      <c r="B17" s="723">
        <v>0</v>
      </c>
      <c r="C17" s="724"/>
      <c r="D17" s="723">
        <v>0</v>
      </c>
    </row>
    <row r="18" spans="1:4" ht="31.5" x14ac:dyDescent="0.25">
      <c r="A18" s="725" t="s">
        <v>88</v>
      </c>
      <c r="B18" s="726">
        <f>SUM(B19:B21)</f>
        <v>53</v>
      </c>
      <c r="C18" s="733"/>
      <c r="D18" s="726">
        <f>SUM(D19:D21)</f>
        <v>53</v>
      </c>
    </row>
    <row r="19" spans="1:4" x14ac:dyDescent="0.25">
      <c r="A19" s="722" t="s">
        <v>1102</v>
      </c>
      <c r="B19" s="723">
        <v>0</v>
      </c>
      <c r="C19" s="724"/>
      <c r="D19" s="723">
        <v>0</v>
      </c>
    </row>
    <row r="20" spans="1:4" x14ac:dyDescent="0.25">
      <c r="A20" s="722" t="s">
        <v>1103</v>
      </c>
      <c r="B20" s="723">
        <v>53</v>
      </c>
      <c r="C20" s="724"/>
      <c r="D20" s="723">
        <v>53</v>
      </c>
    </row>
    <row r="21" spans="1:4" x14ac:dyDescent="0.25">
      <c r="A21" s="722" t="s">
        <v>1104</v>
      </c>
      <c r="B21" s="723">
        <v>0</v>
      </c>
      <c r="C21" s="724"/>
      <c r="D21" s="723">
        <v>0</v>
      </c>
    </row>
    <row r="22" spans="1:4" ht="31.5" x14ac:dyDescent="0.25">
      <c r="A22" s="725" t="s">
        <v>89</v>
      </c>
      <c r="B22" s="726">
        <f>SUM(B23:B25)</f>
        <v>58</v>
      </c>
      <c r="C22" s="733"/>
      <c r="D22" s="726">
        <f>SUM(D23:D25)</f>
        <v>58</v>
      </c>
    </row>
    <row r="23" spans="1:4" x14ac:dyDescent="0.25">
      <c r="A23" s="722" t="s">
        <v>1102</v>
      </c>
      <c r="B23" s="723">
        <v>0</v>
      </c>
      <c r="C23" s="724"/>
      <c r="D23" s="723">
        <v>0</v>
      </c>
    </row>
    <row r="24" spans="1:4" x14ac:dyDescent="0.25">
      <c r="A24" s="722" t="s">
        <v>1103</v>
      </c>
      <c r="B24" s="723">
        <v>58</v>
      </c>
      <c r="C24" s="724"/>
      <c r="D24" s="723">
        <v>58</v>
      </c>
    </row>
    <row r="25" spans="1:4" x14ac:dyDescent="0.25">
      <c r="A25" s="722" t="s">
        <v>1104</v>
      </c>
      <c r="B25" s="723">
        <v>0</v>
      </c>
      <c r="C25" s="724"/>
      <c r="D25" s="723">
        <v>0</v>
      </c>
    </row>
    <row r="26" spans="1:4" ht="31.5" x14ac:dyDescent="0.25">
      <c r="A26" s="725" t="s">
        <v>1106</v>
      </c>
      <c r="B26" s="726">
        <f>SUM(B27:B29)</f>
        <v>83</v>
      </c>
      <c r="C26" s="733"/>
      <c r="D26" s="726">
        <f>SUM(D27:D29)</f>
        <v>83</v>
      </c>
    </row>
    <row r="27" spans="1:4" x14ac:dyDescent="0.25">
      <c r="A27" s="722" t="s">
        <v>1102</v>
      </c>
      <c r="B27" s="731">
        <v>0</v>
      </c>
      <c r="C27" s="724"/>
      <c r="D27" s="731">
        <v>0</v>
      </c>
    </row>
    <row r="28" spans="1:4" x14ac:dyDescent="0.25">
      <c r="A28" s="722" t="s">
        <v>1103</v>
      </c>
      <c r="B28" s="731">
        <v>83</v>
      </c>
      <c r="C28" s="724"/>
      <c r="D28" s="731">
        <v>83</v>
      </c>
    </row>
    <row r="29" spans="1:4" x14ac:dyDescent="0.25">
      <c r="A29" s="722" t="s">
        <v>1104</v>
      </c>
      <c r="B29" s="731">
        <v>0</v>
      </c>
      <c r="C29" s="724"/>
      <c r="D29" s="731">
        <v>0</v>
      </c>
    </row>
    <row r="30" spans="1:4" x14ac:dyDescent="0.25">
      <c r="A30" s="734" t="s">
        <v>252</v>
      </c>
      <c r="B30" s="729">
        <f>SUM(B31:B33)</f>
        <v>8</v>
      </c>
      <c r="C30" s="730"/>
      <c r="D30" s="729">
        <f>SUM(D31:D33)</f>
        <v>8</v>
      </c>
    </row>
    <row r="31" spans="1:4" x14ac:dyDescent="0.25">
      <c r="A31" s="722" t="s">
        <v>1102</v>
      </c>
      <c r="B31" s="731">
        <v>0</v>
      </c>
      <c r="C31" s="724"/>
      <c r="D31" s="731">
        <v>0</v>
      </c>
    </row>
    <row r="32" spans="1:4" x14ac:dyDescent="0.25">
      <c r="A32" s="722" t="s">
        <v>1103</v>
      </c>
      <c r="B32" s="731">
        <v>8</v>
      </c>
      <c r="C32" s="724"/>
      <c r="D32" s="731">
        <v>8</v>
      </c>
    </row>
    <row r="33" spans="1:4" x14ac:dyDescent="0.25">
      <c r="A33" s="722" t="s">
        <v>1104</v>
      </c>
      <c r="B33" s="731">
        <v>0</v>
      </c>
      <c r="C33" s="736"/>
      <c r="D33" s="735">
        <v>0</v>
      </c>
    </row>
    <row r="34" spans="1:4" x14ac:dyDescent="0.25">
      <c r="C34" s="737"/>
    </row>
    <row r="35" spans="1:4" x14ac:dyDescent="0.25">
      <c r="C35" s="737"/>
    </row>
    <row r="36" spans="1:4" x14ac:dyDescent="0.25">
      <c r="C36" s="737"/>
    </row>
    <row r="37" spans="1:4" x14ac:dyDescent="0.25">
      <c r="C37" s="737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&amp;R7. melléklet az .../2021. (XII. .....)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1"/>
  <sheetViews>
    <sheetView topLeftCell="A12" zoomScale="120" zoomScaleNormal="120" workbookViewId="0">
      <selection activeCell="A2" sqref="A2:C41"/>
    </sheetView>
  </sheetViews>
  <sheetFormatPr defaultRowHeight="15" x14ac:dyDescent="0.25"/>
  <cols>
    <col min="1" max="1" width="5.5703125" customWidth="1"/>
    <col min="2" max="2" width="46.7109375" customWidth="1"/>
    <col min="3" max="3" width="19.5703125" customWidth="1"/>
  </cols>
  <sheetData>
    <row r="1" spans="1:3" x14ac:dyDescent="0.25">
      <c r="A1" t="s">
        <v>1127</v>
      </c>
    </row>
    <row r="2" spans="1:3" x14ac:dyDescent="0.25">
      <c r="A2" s="887"/>
      <c r="B2" s="887" t="s">
        <v>1127</v>
      </c>
      <c r="C2" s="887"/>
    </row>
    <row r="3" spans="1:3" x14ac:dyDescent="0.25">
      <c r="A3" s="887" t="s">
        <v>1128</v>
      </c>
      <c r="B3" s="887" t="s">
        <v>1129</v>
      </c>
      <c r="C3" s="888">
        <v>16000</v>
      </c>
    </row>
    <row r="4" spans="1:3" x14ac:dyDescent="0.25">
      <c r="A4" s="887"/>
      <c r="B4" s="887" t="s">
        <v>1130</v>
      </c>
      <c r="C4" s="888">
        <v>20000</v>
      </c>
    </row>
    <row r="5" spans="1:3" x14ac:dyDescent="0.25">
      <c r="A5" s="887"/>
      <c r="B5" s="887" t="s">
        <v>1131</v>
      </c>
      <c r="C5" s="888">
        <v>2000</v>
      </c>
    </row>
    <row r="6" spans="1:3" x14ac:dyDescent="0.25">
      <c r="A6" s="887"/>
      <c r="B6" s="887" t="s">
        <v>1132</v>
      </c>
      <c r="C6" s="888">
        <v>4725</v>
      </c>
    </row>
    <row r="7" spans="1:3" s="750" customFormat="1" x14ac:dyDescent="0.25">
      <c r="A7" s="889"/>
      <c r="B7" s="889" t="s">
        <v>1133</v>
      </c>
      <c r="C7" s="890">
        <v>5000</v>
      </c>
    </row>
    <row r="8" spans="1:3" x14ac:dyDescent="0.25">
      <c r="A8" s="887"/>
      <c r="B8" s="893" t="s">
        <v>1134</v>
      </c>
      <c r="C8" s="894">
        <f>SUM(C3:C7)</f>
        <v>47725</v>
      </c>
    </row>
    <row r="9" spans="1:3" x14ac:dyDescent="0.25">
      <c r="A9" s="887"/>
      <c r="B9" s="887"/>
      <c r="C9" s="888"/>
    </row>
    <row r="10" spans="1:3" x14ac:dyDescent="0.25">
      <c r="A10" s="887" t="s">
        <v>1135</v>
      </c>
      <c r="B10" s="887" t="s">
        <v>1151</v>
      </c>
      <c r="C10" s="888">
        <v>40000</v>
      </c>
    </row>
    <row r="11" spans="1:3" x14ac:dyDescent="0.25">
      <c r="A11" s="887"/>
      <c r="B11" s="887" t="s">
        <v>1146</v>
      </c>
      <c r="C11" s="888">
        <v>500</v>
      </c>
    </row>
    <row r="12" spans="1:3" x14ac:dyDescent="0.25">
      <c r="A12" s="887"/>
      <c r="B12" s="887" t="s">
        <v>1152</v>
      </c>
      <c r="C12" s="888">
        <v>56000</v>
      </c>
    </row>
    <row r="13" spans="1:3" x14ac:dyDescent="0.25">
      <c r="A13" s="887"/>
      <c r="B13" s="887" t="s">
        <v>1136</v>
      </c>
      <c r="C13" s="888">
        <v>3000</v>
      </c>
    </row>
    <row r="14" spans="1:3" x14ac:dyDescent="0.25">
      <c r="A14" s="887"/>
      <c r="B14" s="887" t="s">
        <v>1147</v>
      </c>
      <c r="C14" s="888">
        <v>264574</v>
      </c>
    </row>
    <row r="15" spans="1:3" x14ac:dyDescent="0.25">
      <c r="A15" s="887"/>
      <c r="B15" s="887" t="s">
        <v>1149</v>
      </c>
      <c r="C15" s="888">
        <v>50638</v>
      </c>
    </row>
    <row r="16" spans="1:3" x14ac:dyDescent="0.25">
      <c r="A16" s="887"/>
      <c r="B16" s="887" t="s">
        <v>1148</v>
      </c>
      <c r="C16" s="888">
        <v>294000</v>
      </c>
    </row>
    <row r="17" spans="1:3" x14ac:dyDescent="0.25">
      <c r="A17" s="887"/>
      <c r="B17" s="887" t="s">
        <v>1138</v>
      </c>
      <c r="C17" s="888">
        <v>5000</v>
      </c>
    </row>
    <row r="18" spans="1:3" x14ac:dyDescent="0.25">
      <c r="A18" s="887"/>
      <c r="B18" s="887" t="s">
        <v>1156</v>
      </c>
      <c r="C18" s="888">
        <v>5100</v>
      </c>
    </row>
    <row r="19" spans="1:3" x14ac:dyDescent="0.25">
      <c r="A19" s="887"/>
      <c r="B19" s="887" t="s">
        <v>1158</v>
      </c>
      <c r="C19" s="888">
        <v>10000</v>
      </c>
    </row>
    <row r="20" spans="1:3" x14ac:dyDescent="0.25">
      <c r="A20" s="887"/>
      <c r="B20" s="887" t="s">
        <v>1144</v>
      </c>
      <c r="C20" s="888">
        <v>15000</v>
      </c>
    </row>
    <row r="21" spans="1:3" x14ac:dyDescent="0.25">
      <c r="A21" s="887"/>
      <c r="B21" s="887" t="s">
        <v>1145</v>
      </c>
      <c r="C21" s="888">
        <v>30000</v>
      </c>
    </row>
    <row r="22" spans="1:3" x14ac:dyDescent="0.25">
      <c r="A22" s="887"/>
      <c r="B22" s="887" t="s">
        <v>1154</v>
      </c>
      <c r="C22" s="888">
        <v>5000</v>
      </c>
    </row>
    <row r="23" spans="1:3" x14ac:dyDescent="0.25">
      <c r="A23" s="887"/>
      <c r="B23" s="887" t="s">
        <v>1163</v>
      </c>
      <c r="C23" s="888">
        <v>150000</v>
      </c>
    </row>
    <row r="24" spans="1:3" x14ac:dyDescent="0.25">
      <c r="A24" s="887"/>
      <c r="B24" s="887" t="s">
        <v>1157</v>
      </c>
      <c r="C24" s="888">
        <v>1500</v>
      </c>
    </row>
    <row r="25" spans="1:3" x14ac:dyDescent="0.25">
      <c r="A25" s="887"/>
      <c r="B25" s="887" t="s">
        <v>1150</v>
      </c>
      <c r="C25" s="888">
        <v>4000</v>
      </c>
    </row>
    <row r="26" spans="1:3" x14ac:dyDescent="0.25">
      <c r="A26" s="887"/>
      <c r="B26" s="887" t="s">
        <v>1140</v>
      </c>
      <c r="C26" s="888">
        <v>1775</v>
      </c>
    </row>
    <row r="27" spans="1:3" x14ac:dyDescent="0.25">
      <c r="A27" s="887"/>
      <c r="B27" s="887" t="s">
        <v>1141</v>
      </c>
      <c r="C27" s="888">
        <v>30000</v>
      </c>
    </row>
    <row r="28" spans="1:3" x14ac:dyDescent="0.25">
      <c r="A28" s="887"/>
      <c r="B28" s="887" t="s">
        <v>1139</v>
      </c>
      <c r="C28" s="888">
        <v>1000</v>
      </c>
    </row>
    <row r="29" spans="1:3" x14ac:dyDescent="0.25">
      <c r="A29" s="887"/>
      <c r="B29" s="887" t="s">
        <v>1160</v>
      </c>
      <c r="C29" s="888">
        <v>20000</v>
      </c>
    </row>
    <row r="30" spans="1:3" x14ac:dyDescent="0.25">
      <c r="A30" s="887"/>
      <c r="B30" s="887" t="s">
        <v>1159</v>
      </c>
      <c r="C30" s="888">
        <v>30000</v>
      </c>
    </row>
    <row r="31" spans="1:3" x14ac:dyDescent="0.25">
      <c r="A31" s="887"/>
      <c r="B31" s="887" t="s">
        <v>1153</v>
      </c>
      <c r="C31" s="888">
        <v>2000</v>
      </c>
    </row>
    <row r="32" spans="1:3" x14ac:dyDescent="0.25">
      <c r="A32" s="887"/>
      <c r="B32" s="887" t="s">
        <v>1162</v>
      </c>
      <c r="C32" s="888">
        <v>20000</v>
      </c>
    </row>
    <row r="33" spans="1:3" x14ac:dyDescent="0.25">
      <c r="A33" s="887"/>
      <c r="B33" s="887" t="s">
        <v>1161</v>
      </c>
      <c r="C33" s="888">
        <f>-1000+4000</f>
        <v>3000</v>
      </c>
    </row>
    <row r="34" spans="1:3" x14ac:dyDescent="0.25">
      <c r="A34" s="887"/>
      <c r="B34" s="887" t="s">
        <v>1137</v>
      </c>
      <c r="C34" s="888">
        <v>10000</v>
      </c>
    </row>
    <row r="35" spans="1:3" x14ac:dyDescent="0.25">
      <c r="A35" s="887"/>
      <c r="B35" s="887" t="s">
        <v>1155</v>
      </c>
      <c r="C35" s="888">
        <v>4000</v>
      </c>
    </row>
    <row r="36" spans="1:3" x14ac:dyDescent="0.25">
      <c r="A36" s="887"/>
      <c r="B36" s="887" t="s">
        <v>1224</v>
      </c>
      <c r="C36" s="888">
        <v>60000</v>
      </c>
    </row>
    <row r="37" spans="1:3" x14ac:dyDescent="0.25">
      <c r="A37" s="887"/>
      <c r="B37" s="887" t="s">
        <v>1142</v>
      </c>
      <c r="C37" s="888">
        <v>20000</v>
      </c>
    </row>
    <row r="38" spans="1:3" x14ac:dyDescent="0.25">
      <c r="A38" s="887"/>
      <c r="B38" s="887" t="s">
        <v>1143</v>
      </c>
      <c r="C38" s="888">
        <v>50000</v>
      </c>
    </row>
    <row r="39" spans="1:3" hidden="1" x14ac:dyDescent="0.25">
      <c r="A39" s="887"/>
      <c r="B39" s="891" t="s">
        <v>1166</v>
      </c>
      <c r="C39" s="892"/>
    </row>
    <row r="40" spans="1:3" hidden="1" x14ac:dyDescent="0.25">
      <c r="A40" s="887"/>
      <c r="B40" s="891" t="s">
        <v>1176</v>
      </c>
      <c r="C40" s="892"/>
    </row>
    <row r="41" spans="1:3" x14ac:dyDescent="0.25">
      <c r="A41" s="887"/>
      <c r="B41" s="893" t="s">
        <v>1134</v>
      </c>
      <c r="C41" s="895">
        <f>SUM(C10:C40)</f>
        <v>1186087</v>
      </c>
    </row>
  </sheetData>
  <sortState ref="B11:C39">
    <sortCondition ref="B1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w E A A B Q S w M E F A A C A A g A t V J R U Q R 2 M p u o A A A A + Q A A A B I A H A B D b 2 5 m a W c v U G F j a 2 F n Z S 5 4 b W w g o h g A K K A U A A A A A A A A A A A A A A A A A A A A A A A A A A A A h Y + x D o I w F E V / h X S n r y 3 R K H m U w c V B E h O j c S V Q o R G K g V b 4 N w c / y V + Q R F E 3 x 3 t y h n M f t z v G Q 1 1 5 V 9 V 2 u j E R 4 Z Q R T 5 m s y b U p I u L s y V + Q W O I 2 z c 5 p o b x R N l 0 4 d H l E S m s v I U D f 9 7 Q P a N M W I B j j c E w 2 u 6 x U d U o + s v 4 v + 9 p 0 N j W Z I h I P r x g p 6 J z T G V 8 K y g P G E S a O i T Z f R 4 z J l C H 8 Q F y 5 y r p W y d L 5 6 z 3 C N B H e N + Q T U E s D B B Q A A g A I A L V S U V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1 U l F R z 3 g X i o I B A A A p B Q A A E w A c A E Z v c m 1 1 b G F z L 1 N l Y 3 R p b 2 4 x L m 0 g o h g A K K A U A A A A A A A A A A A A A A A A A A A A A A A A A A A A f d Q 9 b s I w F M D x H S l 3 s N I F p C j C N v 1 E T H x U F d 2 S t g N B l U N c k Z L Y y H b a I M Q B u E B 3 D s D U I + R i D U p p i 5 T X L J H + e n b e b 4 n m M x N L g b z q j b t W w 2 r o O V M 8 Q m c 2 R W g c s 6 j Y a b m w U Q 8 l 3 F g N V D 4 j q V R Z y z T M Z z x x n 6 R a h F I u m q M 4 4 W 5 f C s O F 0 U 2 7 f x M 8 a K 5 0 4 D P 1 W u z E K k Y + S 8 u T w U C + i 0 S y S A f j 4 u P e 9 4 r t 7 e P Q L 7 Y e I m 2 C w 3 D m 5 o n O 7 Z a D R J Y k D j I q 4 y 2 n + n q 5 m P u 7 2 L M 3 5 9 w c 1 v v e a j 2 5 M z z t n Q z Z z j g W U c + u Z q e b y Y A Z N v 2 5 z y / 2 y 0 y j t P i M p C 7 2 5 o 0 d 7 v N Z W G p 8 x Y R + k S r t y y R L h b 9 a c t 2 s X c F Z r + 1 q C N v l x u U g M j w 3 G w c d O w E 6 B X r n 2 J l Y / c n n 9 f m i P l / W 5 6 v 6 f F 2 f c R v o G O g E 6 B T o A B U D V g x g M a D F A B c D X g J 4 C e A l g J c A X g J 4 C e A l g J c A X g J 4 C e C l g J c C X g p 4 K e C l g J c C X g p 4 K e C l g J c C 3 s 6 J d 9 O y G r H 4 5 2 / Q / Q J Q S w E C L Q A U A A I A C A C 1 U l F R B H Y y m 6 g A A A D 5 A A A A E g A A A A A A A A A A A A A A A A A A A A A A Q 2 9 u Z m l n L 1 B h Y 2 t h Z 2 U u e G 1 s U E s B A i 0 A F A A C A A g A t V J R U Q / K 6 a u k A A A A 6 Q A A A B M A A A A A A A A A A A A A A A A A 9 A A A A F t D b 2 5 0 Z W 5 0 X 1 R 5 c G V z X S 5 4 b W x Q S w E C L Q A U A A I A C A C 1 U l F R z 3 g X i o I B A A A p B Q A A E w A A A A A A A A A A A A A A A A D l A Q A A R m 9 y b X V s Y X M v U 2 V j d G l v b j E u b V B L B Q Y A A A A A A w A D A M I A A A C 0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i I A A A A A A A A E A g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z J T I w J T I w S 2 l h Z C V D M y V B M X N v a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x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C 0 x N l Q y M T o 0 M z o 1 M y 4 3 N j k x M T I 4 W i I g L z 4 8 R W 5 0 c n k g V H l w Z T 0 i R m l s b E N v b H V t b l R 5 c G V z I i B W Y W x 1 Z T 0 i c 0 J n W U d B Q U F B Q U F B Q U F B Q U F B Q U F B Q U F B Q U F B Q U F B Q U F B Q U F B Q U F B Q U F B Q U F B Q U F B Q U F B Q U F B Q T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L C Z x d W 9 0 O 0 N v b H V t b j I z J n F 1 b 3 Q 7 L C Z x d W 9 0 O 0 N v b H V t b j I 0 J n F 1 b 3 Q 7 L C Z x d W 9 0 O 0 N v b H V t b j I 1 J n F 1 b 3 Q 7 L C Z x d W 9 0 O 0 N v b H V t b j I 2 J n F 1 b 3 Q 7 L C Z x d W 9 0 O 0 N v b H V t b j I 3 J n F 1 b 3 Q 7 L C Z x d W 9 0 O 0 N v b H V t b j I 4 J n F 1 b 3 Q 7 L C Z x d W 9 0 O 0 N v b H V t b j I 5 J n F 1 b 3 Q 7 L C Z x d W 9 0 O 0 N v b H V t b j M w J n F 1 b 3 Q 7 L C Z x d W 9 0 O 0 N v b H V t b j M x J n F 1 b 3 Q 7 L C Z x d W 9 0 O 0 N v b H V t b j M y J n F 1 b 3 Q 7 L C Z x d W 9 0 O 0 N v b H V t b j M z J n F 1 b 3 Q 7 L C Z x d W 9 0 O 0 N v b H V t b j M 0 J n F 1 b 3 Q 7 L C Z x d W 9 0 O 0 N v b H V t b j M 1 J n F 1 b 3 Q 7 L C Z x d W 9 0 O 0 N v b H V t b j M 2 J n F 1 b 3 Q 7 L C Z x d W 9 0 O 0 N v b H V t b j M 3 J n F 1 b 3 Q 7 L C Z x d W 9 0 O 0 N v b H V t b j M 4 J n F 1 b 3 Q 7 L C Z x d W 9 0 O 0 N v b H V t b j M 5 J n F 1 b 3 Q 7 L C Z x d W 9 0 O 0 N v b H V t b j Q w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D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M g I E t p Y W T D o X N v a y 9 U w 6 1 w d X M g b c O z Z G 9 z w 6 1 0 d m E u e 0 N v b H V t b j E s M H 0 m c X V v d D s s J n F 1 b 3 Q 7 U 2 V j d G l v b j E v M y A g S 2 l h Z M O h c 2 9 r L 1 T D r X B 1 c y B t w 7 N k b 3 P D r X R 2 Y S 5 7 Q 2 9 s d W 1 u M i w x f S Z x d W 9 0 O y w m c X V v d D t T Z W N 0 a W 9 u M S 8 z I C B L a W F k w 6 F z b 2 s v V M O t c H V z I G 3 D s 2 R v c 8 O t d H Z h L n t D b 2 x 1 b W 4 z L D J 9 J n F 1 b 3 Q 7 L C Z x d W 9 0 O 1 N l Y 3 R p b 2 4 x L z M g I E t p Y W T D o X N v a y 9 U w 6 1 w d X M g b c O z Z G 9 z w 6 1 0 d m E u e 0 N v b H V t b j Q s M 3 0 m c X V v d D s s J n F 1 b 3 Q 7 U 2 V j d G l v b j E v M y A g S 2 l h Z M O h c 2 9 r L 1 T D r X B 1 c y B t w 7 N k b 3 P D r X R 2 Y S 5 7 Q 2 9 s d W 1 u N S w 0 f S Z x d W 9 0 O y w m c X V v d D t T Z W N 0 a W 9 u M S 8 z I C B L a W F k w 6 F z b 2 s v V M O t c H V z I G 3 D s 2 R v c 8 O t d H Z h L n t D b 2 x 1 b W 4 2 L D V 9 J n F 1 b 3 Q 7 L C Z x d W 9 0 O 1 N l Y 3 R p b 2 4 x L z M g I E t p Y W T D o X N v a y 9 U w 6 1 w d X M g b c O z Z G 9 z w 6 1 0 d m E u e 0 N v b H V t b j c s N n 0 m c X V v d D s s J n F 1 b 3 Q 7 U 2 V j d G l v b j E v M y A g S 2 l h Z M O h c 2 9 r L 1 T D r X B 1 c y B t w 7 N k b 3 P D r X R 2 Y S 5 7 Q 2 9 s d W 1 u O C w 3 f S Z x d W 9 0 O y w m c X V v d D t T Z W N 0 a W 9 u M S 8 z I C B L a W F k w 6 F z b 2 s v V M O t c H V z I G 3 D s 2 R v c 8 O t d H Z h L n t D b 2 x 1 b W 4 5 L D h 9 J n F 1 b 3 Q 7 L C Z x d W 9 0 O 1 N l Y 3 R p b 2 4 x L z M g I E t p Y W T D o X N v a y 9 U w 6 1 w d X M g b c O z Z G 9 z w 6 1 0 d m E u e 0 N v b H V t b j E w L D l 9 J n F 1 b 3 Q 7 L C Z x d W 9 0 O 1 N l Y 3 R p b 2 4 x L z M g I E t p Y W T D o X N v a y 9 U w 6 1 w d X M g b c O z Z G 9 z w 6 1 0 d m E u e 0 N v b H V t b j E x L D E w f S Z x d W 9 0 O y w m c X V v d D t T Z W N 0 a W 9 u M S 8 z I C B L a W F k w 6 F z b 2 s v V M O t c H V z I G 3 D s 2 R v c 8 O t d H Z h L n t D b 2 x 1 b W 4 x M i w x M X 0 m c X V v d D s s J n F 1 b 3 Q 7 U 2 V j d G l v b j E v M y A g S 2 l h Z M O h c 2 9 r L 1 T D r X B 1 c y B t w 7 N k b 3 P D r X R 2 Y S 5 7 Q 2 9 s d W 1 u M T M s M T J 9 J n F 1 b 3 Q 7 L C Z x d W 9 0 O 1 N l Y 3 R p b 2 4 x L z M g I E t p Y W T D o X N v a y 9 U w 6 1 w d X M g b c O z Z G 9 z w 6 1 0 d m E u e 0 N v b H V t b j E 0 L D E z f S Z x d W 9 0 O y w m c X V v d D t T Z W N 0 a W 9 u M S 8 z I C B L a W F k w 6 F z b 2 s v V M O t c H V z I G 3 D s 2 R v c 8 O t d H Z h L n t D b 2 x 1 b W 4 x N S w x N H 0 m c X V v d D s s J n F 1 b 3 Q 7 U 2 V j d G l v b j E v M y A g S 2 l h Z M O h c 2 9 r L 1 T D r X B 1 c y B t w 7 N k b 3 P D r X R 2 Y S 5 7 Q 2 9 s d W 1 u M T Y s M T V 9 J n F 1 b 3 Q 7 L C Z x d W 9 0 O 1 N l Y 3 R p b 2 4 x L z M g I E t p Y W T D o X N v a y 9 U w 6 1 w d X M g b c O z Z G 9 z w 6 1 0 d m E u e 0 N v b H V t b j E 3 L D E 2 f S Z x d W 9 0 O y w m c X V v d D t T Z W N 0 a W 9 u M S 8 z I C B L a W F k w 6 F z b 2 s v V M O t c H V z I G 3 D s 2 R v c 8 O t d H Z h L n t D b 2 x 1 b W 4 x O C w x N 3 0 m c X V v d D s s J n F 1 b 3 Q 7 U 2 V j d G l v b j E v M y A g S 2 l h Z M O h c 2 9 r L 1 T D r X B 1 c y B t w 7 N k b 3 P D r X R 2 Y S 5 7 Q 2 9 s d W 1 u M T k s M T h 9 J n F 1 b 3 Q 7 L C Z x d W 9 0 O 1 N l Y 3 R p b 2 4 x L z M g I E t p Y W T D o X N v a y 9 U w 6 1 w d X M g b c O z Z G 9 z w 6 1 0 d m E u e 0 N v b H V t b j I w L D E 5 f S Z x d W 9 0 O y w m c X V v d D t T Z W N 0 a W 9 u M S 8 z I C B L a W F k w 6 F z b 2 s v V M O t c H V z I G 3 D s 2 R v c 8 O t d H Z h L n t D b 2 x 1 b W 4 y M S w y M H 0 m c X V v d D s s J n F 1 b 3 Q 7 U 2 V j d G l v b j E v M y A g S 2 l h Z M O h c 2 9 r L 1 T D r X B 1 c y B t w 7 N k b 3 P D r X R 2 Y S 5 7 Q 2 9 s d W 1 u M j I s M j F 9 J n F 1 b 3 Q 7 L C Z x d W 9 0 O 1 N l Y 3 R p b 2 4 x L z M g I E t p Y W T D o X N v a y 9 U w 6 1 w d X M g b c O z Z G 9 z w 6 1 0 d m E u e 0 N v b H V t b j I z L D I y f S Z x d W 9 0 O y w m c X V v d D t T Z W N 0 a W 9 u M S 8 z I C B L a W F k w 6 F z b 2 s v V M O t c H V z I G 3 D s 2 R v c 8 O t d H Z h L n t D b 2 x 1 b W 4 y N C w y M 3 0 m c X V v d D s s J n F 1 b 3 Q 7 U 2 V j d G l v b j E v M y A g S 2 l h Z M O h c 2 9 r L 1 T D r X B 1 c y B t w 7 N k b 3 P D r X R 2 Y S 5 7 Q 2 9 s d W 1 u M j U s M j R 9 J n F 1 b 3 Q 7 L C Z x d W 9 0 O 1 N l Y 3 R p b 2 4 x L z M g I E t p Y W T D o X N v a y 9 U w 6 1 w d X M g b c O z Z G 9 z w 6 1 0 d m E u e 0 N v b H V t b j I 2 L D I 1 f S Z x d W 9 0 O y w m c X V v d D t T Z W N 0 a W 9 u M S 8 z I C B L a W F k w 6 F z b 2 s v V M O t c H V z I G 3 D s 2 R v c 8 O t d H Z h L n t D b 2 x 1 b W 4 y N y w y N n 0 m c X V v d D s s J n F 1 b 3 Q 7 U 2 V j d G l v b j E v M y A g S 2 l h Z M O h c 2 9 r L 1 T D r X B 1 c y B t w 7 N k b 3 P D r X R 2 Y S 5 7 Q 2 9 s d W 1 u M j g s M j d 9 J n F 1 b 3 Q 7 L C Z x d W 9 0 O 1 N l Y 3 R p b 2 4 x L z M g I E t p Y W T D o X N v a y 9 U w 6 1 w d X M g b c O z Z G 9 z w 6 1 0 d m E u e 0 N v b H V t b j I 5 L D I 4 f S Z x d W 9 0 O y w m c X V v d D t T Z W N 0 a W 9 u M S 8 z I C B L a W F k w 6 F z b 2 s v V M O t c H V z I G 3 D s 2 R v c 8 O t d H Z h L n t D b 2 x 1 b W 4 z M C w y O X 0 m c X V v d D s s J n F 1 b 3 Q 7 U 2 V j d G l v b j E v M y A g S 2 l h Z M O h c 2 9 r L 1 T D r X B 1 c y B t w 7 N k b 3 P D r X R 2 Y S 5 7 Q 2 9 s d W 1 u M z E s M z B 9 J n F 1 b 3 Q 7 L C Z x d W 9 0 O 1 N l Y 3 R p b 2 4 x L z M g I E t p Y W T D o X N v a y 9 U w 6 1 w d X M g b c O z Z G 9 z w 6 1 0 d m E u e 0 N v b H V t b j M y L D M x f S Z x d W 9 0 O y w m c X V v d D t T Z W N 0 a W 9 u M S 8 z I C B L a W F k w 6 F z b 2 s v V M O t c H V z I G 3 D s 2 R v c 8 O t d H Z h L n t D b 2 x 1 b W 4 z M y w z M n 0 m c X V v d D s s J n F 1 b 3 Q 7 U 2 V j d G l v b j E v M y A g S 2 l h Z M O h c 2 9 r L 1 T D r X B 1 c y B t w 7 N k b 3 P D r X R 2 Y S 5 7 Q 2 9 s d W 1 u M z Q s M z N 9 J n F 1 b 3 Q 7 L C Z x d W 9 0 O 1 N l Y 3 R p b 2 4 x L z M g I E t p Y W T D o X N v a y 9 U w 6 1 w d X M g b c O z Z G 9 z w 6 1 0 d m E u e 0 N v b H V t b j M 1 L D M 0 f S Z x d W 9 0 O y w m c X V v d D t T Z W N 0 a W 9 u M S 8 z I C B L a W F k w 6 F z b 2 s v V M O t c H V z I G 3 D s 2 R v c 8 O t d H Z h L n t D b 2 x 1 b W 4 z N i w z N X 0 m c X V v d D s s J n F 1 b 3 Q 7 U 2 V j d G l v b j E v M y A g S 2 l h Z M O h c 2 9 r L 1 T D r X B 1 c y B t w 7 N k b 3 P D r X R 2 Y S 5 7 Q 2 9 s d W 1 u M z c s M z Z 9 J n F 1 b 3 Q 7 L C Z x d W 9 0 O 1 N l Y 3 R p b 2 4 x L z M g I E t p Y W T D o X N v a y 9 U w 6 1 w d X M g b c O z Z G 9 z w 6 1 0 d m E u e 0 N v b H V t b j M 4 L D M 3 f S Z x d W 9 0 O y w m c X V v d D t T Z W N 0 a W 9 u M S 8 z I C B L a W F k w 6 F z b 2 s v V M O t c H V z I G 3 D s 2 R v c 8 O t d H Z h L n t D b 2 x 1 b W 4 z O S w z O H 0 m c X V v d D s s J n F 1 b 3 Q 7 U 2 V j d G l v b j E v M y A g S 2 l h Z M O h c 2 9 r L 1 T D r X B 1 c y B t w 7 N k b 3 P D r X R 2 Y S 5 7 Q 2 9 s d W 1 u N D A s M z l 9 J n F 1 b 3 Q 7 X S w m c X V v d D t D b 2 x 1 b W 5 D b 3 V u d C Z x d W 9 0 O z o 0 M C w m c X V v d D t L Z X l D b 2 x 1 b W 5 O Y W 1 l c y Z x d W 9 0 O z p b X S w m c X V v d D t D b 2 x 1 b W 5 J Z G V u d G l 0 a W V z J n F 1 b 3 Q 7 O l s m c X V v d D t T Z W N 0 a W 9 u M S 8 z I C B L a W F k w 6 F z b 2 s v V M O t c H V z I G 3 D s 2 R v c 8 O t d H Z h L n t D b 2 x 1 b W 4 x L D B 9 J n F 1 b 3 Q 7 L C Z x d W 9 0 O 1 N l Y 3 R p b 2 4 x L z M g I E t p Y W T D o X N v a y 9 U w 6 1 w d X M g b c O z Z G 9 z w 6 1 0 d m E u e 0 N v b H V t b j I s M X 0 m c X V v d D s s J n F 1 b 3 Q 7 U 2 V j d G l v b j E v M y A g S 2 l h Z M O h c 2 9 r L 1 T D r X B 1 c y B t w 7 N k b 3 P D r X R 2 Y S 5 7 Q 2 9 s d W 1 u M y w y f S Z x d W 9 0 O y w m c X V v d D t T Z W N 0 a W 9 u M S 8 z I C B L a W F k w 6 F z b 2 s v V M O t c H V z I G 3 D s 2 R v c 8 O t d H Z h L n t D b 2 x 1 b W 4 0 L D N 9 J n F 1 b 3 Q 7 L C Z x d W 9 0 O 1 N l Y 3 R p b 2 4 x L z M g I E t p Y W T D o X N v a y 9 U w 6 1 w d X M g b c O z Z G 9 z w 6 1 0 d m E u e 0 N v b H V t b j U s N H 0 m c X V v d D s s J n F 1 b 3 Q 7 U 2 V j d G l v b j E v M y A g S 2 l h Z M O h c 2 9 r L 1 T D r X B 1 c y B t w 7 N k b 3 P D r X R 2 Y S 5 7 Q 2 9 s d W 1 u N i w 1 f S Z x d W 9 0 O y w m c X V v d D t T Z W N 0 a W 9 u M S 8 z I C B L a W F k w 6 F z b 2 s v V M O t c H V z I G 3 D s 2 R v c 8 O t d H Z h L n t D b 2 x 1 b W 4 3 L D Z 9 J n F 1 b 3 Q 7 L C Z x d W 9 0 O 1 N l Y 3 R p b 2 4 x L z M g I E t p Y W T D o X N v a y 9 U w 6 1 w d X M g b c O z Z G 9 z w 6 1 0 d m E u e 0 N v b H V t b j g s N 3 0 m c X V v d D s s J n F 1 b 3 Q 7 U 2 V j d G l v b j E v M y A g S 2 l h Z M O h c 2 9 r L 1 T D r X B 1 c y B t w 7 N k b 3 P D r X R 2 Y S 5 7 Q 2 9 s d W 1 u O S w 4 f S Z x d W 9 0 O y w m c X V v d D t T Z W N 0 a W 9 u M S 8 z I C B L a W F k w 6 F z b 2 s v V M O t c H V z I G 3 D s 2 R v c 8 O t d H Z h L n t D b 2 x 1 b W 4 x M C w 5 f S Z x d W 9 0 O y w m c X V v d D t T Z W N 0 a W 9 u M S 8 z I C B L a W F k w 6 F z b 2 s v V M O t c H V z I G 3 D s 2 R v c 8 O t d H Z h L n t D b 2 x 1 b W 4 x M S w x M H 0 m c X V v d D s s J n F 1 b 3 Q 7 U 2 V j d G l v b j E v M y A g S 2 l h Z M O h c 2 9 r L 1 T D r X B 1 c y B t w 7 N k b 3 P D r X R 2 Y S 5 7 Q 2 9 s d W 1 u M T I s M T F 9 J n F 1 b 3 Q 7 L C Z x d W 9 0 O 1 N l Y 3 R p b 2 4 x L z M g I E t p Y W T D o X N v a y 9 U w 6 1 w d X M g b c O z Z G 9 z w 6 1 0 d m E u e 0 N v b H V t b j E z L D E y f S Z x d W 9 0 O y w m c X V v d D t T Z W N 0 a W 9 u M S 8 z I C B L a W F k w 6 F z b 2 s v V M O t c H V z I G 3 D s 2 R v c 8 O t d H Z h L n t D b 2 x 1 b W 4 x N C w x M 3 0 m c X V v d D s s J n F 1 b 3 Q 7 U 2 V j d G l v b j E v M y A g S 2 l h Z M O h c 2 9 r L 1 T D r X B 1 c y B t w 7 N k b 3 P D r X R 2 Y S 5 7 Q 2 9 s d W 1 u M T U s M T R 9 J n F 1 b 3 Q 7 L C Z x d W 9 0 O 1 N l Y 3 R p b 2 4 x L z M g I E t p Y W T D o X N v a y 9 U w 6 1 w d X M g b c O z Z G 9 z w 6 1 0 d m E u e 0 N v b H V t b j E 2 L D E 1 f S Z x d W 9 0 O y w m c X V v d D t T Z W N 0 a W 9 u M S 8 z I C B L a W F k w 6 F z b 2 s v V M O t c H V z I G 3 D s 2 R v c 8 O t d H Z h L n t D b 2 x 1 b W 4 x N y w x N n 0 m c X V v d D s s J n F 1 b 3 Q 7 U 2 V j d G l v b j E v M y A g S 2 l h Z M O h c 2 9 r L 1 T D r X B 1 c y B t w 7 N k b 3 P D r X R 2 Y S 5 7 Q 2 9 s d W 1 u M T g s M T d 9 J n F 1 b 3 Q 7 L C Z x d W 9 0 O 1 N l Y 3 R p b 2 4 x L z M g I E t p Y W T D o X N v a y 9 U w 6 1 w d X M g b c O z Z G 9 z w 6 1 0 d m E u e 0 N v b H V t b j E 5 L D E 4 f S Z x d W 9 0 O y w m c X V v d D t T Z W N 0 a W 9 u M S 8 z I C B L a W F k w 6 F z b 2 s v V M O t c H V z I G 3 D s 2 R v c 8 O t d H Z h L n t D b 2 x 1 b W 4 y M C w x O X 0 m c X V v d D s s J n F 1 b 3 Q 7 U 2 V j d G l v b j E v M y A g S 2 l h Z M O h c 2 9 r L 1 T D r X B 1 c y B t w 7 N k b 3 P D r X R 2 Y S 5 7 Q 2 9 s d W 1 u M j E s M j B 9 J n F 1 b 3 Q 7 L C Z x d W 9 0 O 1 N l Y 3 R p b 2 4 x L z M g I E t p Y W T D o X N v a y 9 U w 6 1 w d X M g b c O z Z G 9 z w 6 1 0 d m E u e 0 N v b H V t b j I y L D I x f S Z x d W 9 0 O y w m c X V v d D t T Z W N 0 a W 9 u M S 8 z I C B L a W F k w 6 F z b 2 s v V M O t c H V z I G 3 D s 2 R v c 8 O t d H Z h L n t D b 2 x 1 b W 4 y M y w y M n 0 m c X V v d D s s J n F 1 b 3 Q 7 U 2 V j d G l v b j E v M y A g S 2 l h Z M O h c 2 9 r L 1 T D r X B 1 c y B t w 7 N k b 3 P D r X R 2 Y S 5 7 Q 2 9 s d W 1 u M j Q s M j N 9 J n F 1 b 3 Q 7 L C Z x d W 9 0 O 1 N l Y 3 R p b 2 4 x L z M g I E t p Y W T D o X N v a y 9 U w 6 1 w d X M g b c O z Z G 9 z w 6 1 0 d m E u e 0 N v b H V t b j I 1 L D I 0 f S Z x d W 9 0 O y w m c X V v d D t T Z W N 0 a W 9 u M S 8 z I C B L a W F k w 6 F z b 2 s v V M O t c H V z I G 3 D s 2 R v c 8 O t d H Z h L n t D b 2 x 1 b W 4 y N i w y N X 0 m c X V v d D s s J n F 1 b 3 Q 7 U 2 V j d G l v b j E v M y A g S 2 l h Z M O h c 2 9 r L 1 T D r X B 1 c y B t w 7 N k b 3 P D r X R 2 Y S 5 7 Q 2 9 s d W 1 u M j c s M j Z 9 J n F 1 b 3 Q 7 L C Z x d W 9 0 O 1 N l Y 3 R p b 2 4 x L z M g I E t p Y W T D o X N v a y 9 U w 6 1 w d X M g b c O z Z G 9 z w 6 1 0 d m E u e 0 N v b H V t b j I 4 L D I 3 f S Z x d W 9 0 O y w m c X V v d D t T Z W N 0 a W 9 u M S 8 z I C B L a W F k w 6 F z b 2 s v V M O t c H V z I G 3 D s 2 R v c 8 O t d H Z h L n t D b 2 x 1 b W 4 y O S w y O H 0 m c X V v d D s s J n F 1 b 3 Q 7 U 2 V j d G l v b j E v M y A g S 2 l h Z M O h c 2 9 r L 1 T D r X B 1 c y B t w 7 N k b 3 P D r X R 2 Y S 5 7 Q 2 9 s d W 1 u M z A s M j l 9 J n F 1 b 3 Q 7 L C Z x d W 9 0 O 1 N l Y 3 R p b 2 4 x L z M g I E t p Y W T D o X N v a y 9 U w 6 1 w d X M g b c O z Z G 9 z w 6 1 0 d m E u e 0 N v b H V t b j M x L D M w f S Z x d W 9 0 O y w m c X V v d D t T Z W N 0 a W 9 u M S 8 z I C B L a W F k w 6 F z b 2 s v V M O t c H V z I G 3 D s 2 R v c 8 O t d H Z h L n t D b 2 x 1 b W 4 z M i w z M X 0 m c X V v d D s s J n F 1 b 3 Q 7 U 2 V j d G l v b j E v M y A g S 2 l h Z M O h c 2 9 r L 1 T D r X B 1 c y B t w 7 N k b 3 P D r X R 2 Y S 5 7 Q 2 9 s d W 1 u M z M s M z J 9 J n F 1 b 3 Q 7 L C Z x d W 9 0 O 1 N l Y 3 R p b 2 4 x L z M g I E t p Y W T D o X N v a y 9 U w 6 1 w d X M g b c O z Z G 9 z w 6 1 0 d m E u e 0 N v b H V t b j M 0 L D M z f S Z x d W 9 0 O y w m c X V v d D t T Z W N 0 a W 9 u M S 8 z I C B L a W F k w 6 F z b 2 s v V M O t c H V z I G 3 D s 2 R v c 8 O t d H Z h L n t D b 2 x 1 b W 4 z N S w z N H 0 m c X V v d D s s J n F 1 b 3 Q 7 U 2 V j d G l v b j E v M y A g S 2 l h Z M O h c 2 9 r L 1 T D r X B 1 c y B t w 7 N k b 3 P D r X R 2 Y S 5 7 Q 2 9 s d W 1 u M z Y s M z V 9 J n F 1 b 3 Q 7 L C Z x d W 9 0 O 1 N l Y 3 R p b 2 4 x L z M g I E t p Y W T D o X N v a y 9 U w 6 1 w d X M g b c O z Z G 9 z w 6 1 0 d m E u e 0 N v b H V t b j M 3 L D M 2 f S Z x d W 9 0 O y w m c X V v d D t T Z W N 0 a W 9 u M S 8 z I C B L a W F k w 6 F z b 2 s v V M O t c H V z I G 3 D s 2 R v c 8 O t d H Z h L n t D b 2 x 1 b W 4 z O C w z N 3 0 m c X V v d D s s J n F 1 b 3 Q 7 U 2 V j d G l v b j E v M y A g S 2 l h Z M O h c 2 9 r L 1 T D r X B 1 c y B t w 7 N k b 3 P D r X R 2 Y S 5 7 Q 2 9 s d W 1 u M z k s M z h 9 J n F 1 b 3 Q 7 L C Z x d W 9 0 O 1 N l Y 3 R p b 2 4 x L z M g I E t p Y W T D o X N v a y 9 U w 6 1 w d X M g b c O z Z G 9 z w 6 1 0 d m E u e 0 N v b H V t b j Q w L D M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y U y M C U y M E t p Y W Q l Q z M l Q T F z b 2 s v R m 9 y c i V D M y V B M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z J T I w J T I w S 2 l h Z C V D M y V B M X N v a y 8 z L i U y M E t p Y W Q l Q z M l Q T F z b 2 t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z J T I w J T I w S 2 l h Z C V D M y V B M X N v a y 9 U J U M z J U F E c H V z J T I w b S V D M y V C M 2 R v c y V D M y V B R H R 2 Y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w Q V q z N r V n Q r 7 H 9 P m O z 5 F j A A A A A A I A A A A A A B B m A A A A A Q A A I A A A A I B o e 8 U k P 4 L X Y p h n 6 g z b u c u E k 0 E x U D t 2 i V T F z a i x M J d W A A A A A A 6 A A A A A A g A A I A A A A B 0 I z V E w S v P G z r R Q E J k L o b 5 b C P O B d P w I N i p P l K X x 4 u 6 v U A A A A M 6 i v H 9 r D q W p R H I u 8 d h 3 A L 1 d K L B P H h 0 y k 5 5 f I D j y z 9 S 8 v O l n a X j x K 4 3 c d h Y z 9 N v g W d y x V 3 + w H 7 B L 1 T v W g i e D h X f h + T o D 4 G W u Q p 3 n Z E O v t C F q Q A A A A B z k B q O z S 1 H 0 m l S P F t f 8 5 S l k 6 R r + o g F g q B m G v 2 X i j d Y J t 7 Y 1 1 Z u w O i 9 Z 6 h F Q / M d q t c P l 1 4 K U Q A X A 1 z 9 u r x v T d q M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E6B966070F2524F8AA96D465E02F282" ma:contentTypeVersion="8" ma:contentTypeDescription="Új dokumentum létrehozása." ma:contentTypeScope="" ma:versionID="8c861381cc5ce50274ee41301e272c68">
  <xsd:schema xmlns:xsd="http://www.w3.org/2001/XMLSchema" xmlns:xs="http://www.w3.org/2001/XMLSchema" xmlns:p="http://schemas.microsoft.com/office/2006/metadata/properties" xmlns:ns3="84565c30-dc44-4635-a249-e11feb2e48ba" targetNamespace="http://schemas.microsoft.com/office/2006/metadata/properties" ma:root="true" ma:fieldsID="97c6a9f7fcf9a1c5688e3222eb307f33" ns3:_="">
    <xsd:import namespace="84565c30-dc44-4635-a249-e11feb2e48b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65c30-dc44-4635-a249-e11feb2e48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D5D99C-FC45-4635-B9D4-589F2BCDBD77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D776F7BF-FF1F-400B-9319-7C32181A82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565c30-dc44-4635-a249-e11feb2e4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FFD387-971F-4938-AA20-B5FFF17FD7D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5F8F1FC-32AF-4D36-97F2-45AEF674F6B9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84565c30-dc44-4635-a249-e11feb2e48ba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11</vt:i4>
      </vt:variant>
    </vt:vector>
  </HeadingPairs>
  <TitlesOfParts>
    <vt:vector size="20" baseType="lpstr">
      <vt:lpstr>1. melléklet</vt:lpstr>
      <vt:lpstr>2. melléklet</vt:lpstr>
      <vt:lpstr>3. melléklet</vt:lpstr>
      <vt:lpstr>4. melléklet </vt:lpstr>
      <vt:lpstr>4. melléklet_régi</vt:lpstr>
      <vt:lpstr>5. melléklet</vt:lpstr>
      <vt:lpstr>6. melléklet</vt:lpstr>
      <vt:lpstr>7. melléklet</vt:lpstr>
      <vt:lpstr>Támogatások részletezve</vt:lpstr>
      <vt:lpstr>'1. melléklet'!Nyomtatási_cím</vt:lpstr>
      <vt:lpstr>'2. melléklet'!Nyomtatási_cím</vt:lpstr>
      <vt:lpstr>'3. melléklet'!Nyomtatási_cím</vt:lpstr>
      <vt:lpstr>'4. melléklet '!Nyomtatási_cím</vt:lpstr>
      <vt:lpstr>'4. melléklet_régi'!Nyomtatási_cím</vt:lpstr>
      <vt:lpstr>'6. melléklet'!Nyomtatási_cím</vt:lpstr>
      <vt:lpstr>'2. melléklet'!Nyomtatási_terület</vt:lpstr>
      <vt:lpstr>'3. melléklet'!Nyomtatási_terület</vt:lpstr>
      <vt:lpstr>'4. melléklet '!Nyomtatási_terület</vt:lpstr>
      <vt:lpstr>'4. melléklet_régi'!Nyomtatási_terület</vt:lpstr>
      <vt:lpstr>'6.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Volosin Katalin</dc:creator>
  <cp:lastModifiedBy>Volosin Katalin</cp:lastModifiedBy>
  <cp:lastPrinted>2021-12-02T16:08:52Z</cp:lastPrinted>
  <dcterms:created xsi:type="dcterms:W3CDTF">2020-01-20T13:57:18Z</dcterms:created>
  <dcterms:modified xsi:type="dcterms:W3CDTF">2021-12-02T17:49:02Z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0x0101008E6B966070F2524F8AA96D465E02F282</vt:lpwstr>
  </property>
</Properties>
</file>